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5cd169aa973ec7a/CBTM/GOVERNANÇA/FEDERAÇÕES/"/>
    </mc:Choice>
  </mc:AlternateContent>
  <xr:revisionPtr revIDLastSave="0" documentId="8_{AFBFAB18-3BBE-440A-BBCE-5D6FE9DCAAB6}" xr6:coauthVersionLast="43" xr6:coauthVersionMax="43" xr10:uidLastSave="{00000000-0000-0000-0000-000000000000}"/>
  <bookViews>
    <workbookView xWindow="-108" yWindow="-108" windowWidth="23256" windowHeight="12576" activeTab="1" xr2:uid="{5ADF6D50-E279-4A17-BCC3-A51301C7C15D}"/>
  </bookViews>
  <sheets>
    <sheet name="Leia-me" sheetId="21" r:id="rId1"/>
    <sheet name="SOMATÓRIO" sheetId="25" r:id="rId2"/>
    <sheet name="CONSOLIDADO" sheetId="23" r:id="rId3"/>
    <sheet name="Valor-TRA" sheetId="9" r:id="rId4"/>
    <sheet name="TRA-Consolidado" sheetId="8" r:id="rId5"/>
    <sheet name="TRA.13" sheetId="1" r:id="rId6"/>
    <sheet name="TRA.14" sheetId="2" r:id="rId7"/>
    <sheet name="TRA.15" sheetId="3" r:id="rId8"/>
    <sheet name="TRA.16" sheetId="4" r:id="rId9"/>
    <sheet name="TRA.17" sheetId="5" r:id="rId10"/>
    <sheet name="TRA.18" sheetId="6" r:id="rId11"/>
    <sheet name="TRA.19" sheetId="7" r:id="rId12"/>
    <sheet name="PAF-Consolidado" sheetId="15" r:id="rId13"/>
    <sheet name="PAF.14" sheetId="10" r:id="rId14"/>
    <sheet name="PAF.15" sheetId="11" r:id="rId15"/>
    <sheet name="PAF.16" sheetId="12" r:id="rId16"/>
    <sheet name="PAF.17" sheetId="13" r:id="rId17"/>
    <sheet name="PAF.18" sheetId="14" r:id="rId18"/>
    <sheet name="CTs-Consolidado" sheetId="17" r:id="rId19"/>
    <sheet name="CTs-A Descontar" sheetId="16" r:id="rId20"/>
  </sheets>
  <definedNames>
    <definedName name="_xlnm._FilterDatabase" localSheetId="19" hidden="1">'CTs-A Descontar'!$A$1:$J$182</definedName>
    <definedName name="_xlnm._FilterDatabase" localSheetId="1" hidden="1">SOMATÓRIO!$B$3:$H$3</definedName>
  </definedNames>
  <calcPr calcId="191029"/>
  <pivotCaches>
    <pivotCache cacheId="0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" i="23" l="1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4" i="23"/>
  <c r="O5" i="23"/>
  <c r="O6" i="23"/>
  <c r="O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4" i="23"/>
  <c r="N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4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4" i="23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4" i="23"/>
  <c r="K5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4" i="23"/>
  <c r="J5" i="23"/>
  <c r="J6" i="23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4" i="23"/>
  <c r="G27" i="15"/>
  <c r="N27" i="15"/>
  <c r="G11" i="15"/>
  <c r="G10" i="15"/>
  <c r="N10" i="15"/>
  <c r="G7" i="15"/>
  <c r="N7" i="15"/>
  <c r="F27" i="15"/>
  <c r="M27" i="15"/>
  <c r="M20" i="15"/>
  <c r="F20" i="15"/>
  <c r="F22" i="15"/>
  <c r="M22" i="15"/>
  <c r="F9" i="15"/>
  <c r="F6" i="15"/>
  <c r="E27" i="15"/>
  <c r="E23" i="15"/>
  <c r="E22" i="15"/>
  <c r="L22" i="15"/>
  <c r="E21" i="15"/>
  <c r="L21" i="15"/>
  <c r="E8" i="15"/>
  <c r="L8" i="15"/>
  <c r="D29" i="15"/>
  <c r="D27" i="15"/>
  <c r="K27" i="15"/>
  <c r="D22" i="15"/>
  <c r="K22" i="15"/>
  <c r="D21" i="15"/>
  <c r="K21" i="15"/>
  <c r="D8" i="15"/>
  <c r="D7" i="15"/>
  <c r="K7" i="15"/>
  <c r="D6" i="15"/>
  <c r="K6" i="15"/>
  <c r="D5" i="15"/>
  <c r="K5" i="15"/>
  <c r="AD30" i="23"/>
  <c r="AC30" i="23"/>
  <c r="AB30" i="23"/>
  <c r="AA30" i="23"/>
  <c r="Z30" i="23"/>
  <c r="Y30" i="23"/>
  <c r="X30" i="23"/>
  <c r="AD29" i="23"/>
  <c r="AC29" i="23"/>
  <c r="AB29" i="23"/>
  <c r="AA29" i="23"/>
  <c r="Z29" i="23"/>
  <c r="Y29" i="23"/>
  <c r="X29" i="23"/>
  <c r="AD28" i="23"/>
  <c r="AC28" i="23"/>
  <c r="AB28" i="23"/>
  <c r="AA28" i="23"/>
  <c r="Z28" i="23"/>
  <c r="Y28" i="23"/>
  <c r="X28" i="23"/>
  <c r="AD27" i="23"/>
  <c r="AC27" i="23"/>
  <c r="AB27" i="23"/>
  <c r="AA27" i="23"/>
  <c r="Z27" i="23"/>
  <c r="Y27" i="23"/>
  <c r="X27" i="23"/>
  <c r="AD26" i="23"/>
  <c r="AC26" i="23"/>
  <c r="AB26" i="23"/>
  <c r="AA26" i="23"/>
  <c r="Z26" i="23"/>
  <c r="Y26" i="23"/>
  <c r="X26" i="23"/>
  <c r="AD25" i="23"/>
  <c r="AC25" i="23"/>
  <c r="AB25" i="23"/>
  <c r="AA25" i="23"/>
  <c r="Z25" i="23"/>
  <c r="Y25" i="23"/>
  <c r="X25" i="23"/>
  <c r="AD24" i="23"/>
  <c r="AC24" i="23"/>
  <c r="AB24" i="23"/>
  <c r="AA24" i="23"/>
  <c r="Z24" i="23"/>
  <c r="Y24" i="23"/>
  <c r="X24" i="23"/>
  <c r="AD23" i="23"/>
  <c r="AC23" i="23"/>
  <c r="AB23" i="23"/>
  <c r="AA23" i="23"/>
  <c r="Z23" i="23"/>
  <c r="Y23" i="23"/>
  <c r="X23" i="23"/>
  <c r="AD22" i="23"/>
  <c r="AC22" i="23"/>
  <c r="AB22" i="23"/>
  <c r="AA22" i="23"/>
  <c r="Z22" i="23"/>
  <c r="Y22" i="23"/>
  <c r="X22" i="23"/>
  <c r="AD21" i="23"/>
  <c r="AC21" i="23"/>
  <c r="AB21" i="23"/>
  <c r="AA21" i="23"/>
  <c r="Z21" i="23"/>
  <c r="Y21" i="23"/>
  <c r="X21" i="23"/>
  <c r="AD20" i="23"/>
  <c r="AC20" i="23"/>
  <c r="AB20" i="23"/>
  <c r="AA20" i="23"/>
  <c r="Z20" i="23"/>
  <c r="Y20" i="23"/>
  <c r="X20" i="23"/>
  <c r="AD19" i="23"/>
  <c r="AC19" i="23"/>
  <c r="AB19" i="23"/>
  <c r="AA19" i="23"/>
  <c r="Z19" i="23"/>
  <c r="Y19" i="23"/>
  <c r="X19" i="23"/>
  <c r="AD18" i="23"/>
  <c r="AC18" i="23"/>
  <c r="AB18" i="23"/>
  <c r="AA18" i="23"/>
  <c r="Z18" i="23"/>
  <c r="Y18" i="23"/>
  <c r="X18" i="23"/>
  <c r="AD17" i="23"/>
  <c r="AC17" i="23"/>
  <c r="AB17" i="23"/>
  <c r="AA17" i="23"/>
  <c r="Z17" i="23"/>
  <c r="Y17" i="23"/>
  <c r="X17" i="23"/>
  <c r="AD16" i="23"/>
  <c r="AC16" i="23"/>
  <c r="AB16" i="23"/>
  <c r="AA16" i="23"/>
  <c r="Z16" i="23"/>
  <c r="Y16" i="23"/>
  <c r="X16" i="23"/>
  <c r="AD15" i="23"/>
  <c r="AC15" i="23"/>
  <c r="AB15" i="23"/>
  <c r="AA15" i="23"/>
  <c r="Z15" i="23"/>
  <c r="Y15" i="23"/>
  <c r="X15" i="23"/>
  <c r="AD14" i="23"/>
  <c r="AC14" i="23"/>
  <c r="AB14" i="23"/>
  <c r="AA14" i="23"/>
  <c r="Z14" i="23"/>
  <c r="Y14" i="23"/>
  <c r="X14" i="23"/>
  <c r="AD13" i="23"/>
  <c r="AC13" i="23"/>
  <c r="AB13" i="23"/>
  <c r="AA13" i="23"/>
  <c r="Z13" i="23"/>
  <c r="Y13" i="23"/>
  <c r="X13" i="23"/>
  <c r="AD12" i="23"/>
  <c r="AC12" i="23"/>
  <c r="AB12" i="23"/>
  <c r="AA12" i="23"/>
  <c r="Z12" i="23"/>
  <c r="Y12" i="23"/>
  <c r="X12" i="23"/>
  <c r="AD11" i="23"/>
  <c r="AC11" i="23"/>
  <c r="AB11" i="23"/>
  <c r="AA11" i="23"/>
  <c r="Z11" i="23"/>
  <c r="Y11" i="23"/>
  <c r="X11" i="23"/>
  <c r="AD10" i="23"/>
  <c r="AC10" i="23"/>
  <c r="AB10" i="23"/>
  <c r="AA10" i="23"/>
  <c r="Z10" i="23"/>
  <c r="Y10" i="23"/>
  <c r="X10" i="23"/>
  <c r="AD9" i="23"/>
  <c r="AC9" i="23"/>
  <c r="AB9" i="23"/>
  <c r="AA9" i="23"/>
  <c r="Z9" i="23"/>
  <c r="Y9" i="23"/>
  <c r="X9" i="23"/>
  <c r="AD8" i="23"/>
  <c r="AC8" i="23"/>
  <c r="AB8" i="23"/>
  <c r="AA8" i="23"/>
  <c r="Z8" i="23"/>
  <c r="Y8" i="23"/>
  <c r="X8" i="23"/>
  <c r="AD7" i="23"/>
  <c r="AC7" i="23"/>
  <c r="AB7" i="23"/>
  <c r="AA7" i="23"/>
  <c r="Z7" i="23"/>
  <c r="Y7" i="23"/>
  <c r="X7" i="23"/>
  <c r="AD6" i="23"/>
  <c r="AC6" i="23"/>
  <c r="AB6" i="23"/>
  <c r="AA6" i="23"/>
  <c r="Z6" i="23"/>
  <c r="Y6" i="23"/>
  <c r="X6" i="23"/>
  <c r="AD5" i="23"/>
  <c r="AC5" i="23"/>
  <c r="AB5" i="23"/>
  <c r="AA5" i="23"/>
  <c r="Z5" i="23"/>
  <c r="Y5" i="23"/>
  <c r="X5" i="23"/>
  <c r="AD4" i="23"/>
  <c r="AC4" i="23"/>
  <c r="AB4" i="23"/>
  <c r="AA4" i="23"/>
  <c r="Z4" i="23"/>
  <c r="Y4" i="23"/>
  <c r="X4" i="23"/>
  <c r="H31" i="9" l="1"/>
  <c r="C4" i="23" l="1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1" i="23"/>
  <c r="C22" i="23"/>
  <c r="C23" i="23"/>
  <c r="C24" i="23"/>
  <c r="C25" i="23"/>
  <c r="C26" i="23"/>
  <c r="C27" i="23"/>
  <c r="C28" i="23"/>
  <c r="C30" i="23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30" i="23"/>
  <c r="E4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9" i="23"/>
  <c r="E20" i="23"/>
  <c r="E21" i="23"/>
  <c r="E22" i="23"/>
  <c r="E23" i="23"/>
  <c r="E24" i="23"/>
  <c r="E25" i="23"/>
  <c r="E26" i="23"/>
  <c r="E27" i="23"/>
  <c r="E28" i="23"/>
  <c r="E30" i="23"/>
  <c r="H5" i="23"/>
  <c r="H7" i="23"/>
  <c r="H8" i="23"/>
  <c r="H9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8" i="23"/>
  <c r="H29" i="23"/>
  <c r="H30" i="23"/>
  <c r="H4" i="23"/>
  <c r="G5" i="23"/>
  <c r="G7" i="23"/>
  <c r="G8" i="23"/>
  <c r="G9" i="23"/>
  <c r="G10" i="23"/>
  <c r="G11" i="23"/>
  <c r="G12" i="23"/>
  <c r="G13" i="23"/>
  <c r="G15" i="23"/>
  <c r="G16" i="23"/>
  <c r="G17" i="23"/>
  <c r="G18" i="23"/>
  <c r="G19" i="23"/>
  <c r="G20" i="23"/>
  <c r="G22" i="23"/>
  <c r="G24" i="23"/>
  <c r="G25" i="23"/>
  <c r="G26" i="23"/>
  <c r="G27" i="23"/>
  <c r="G28" i="23"/>
  <c r="G30" i="23"/>
  <c r="G4" i="23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30" i="23"/>
  <c r="F4" i="23"/>
  <c r="G5" i="25" l="1"/>
  <c r="G9" i="25"/>
  <c r="G13" i="25"/>
  <c r="G17" i="25"/>
  <c r="G21" i="25"/>
  <c r="G25" i="25"/>
  <c r="G29" i="25"/>
  <c r="G8" i="25"/>
  <c r="G12" i="25"/>
  <c r="G16" i="25"/>
  <c r="G20" i="25"/>
  <c r="G24" i="25"/>
  <c r="G28" i="25"/>
  <c r="G6" i="25"/>
  <c r="G7" i="25"/>
  <c r="G10" i="25"/>
  <c r="G11" i="25"/>
  <c r="G14" i="25"/>
  <c r="G15" i="25"/>
  <c r="G18" i="25"/>
  <c r="G19" i="25"/>
  <c r="G22" i="25"/>
  <c r="G23" i="25"/>
  <c r="G26" i="25"/>
  <c r="G27" i="25"/>
  <c r="G30" i="25"/>
  <c r="G4" i="25"/>
  <c r="D7" i="25"/>
  <c r="D8" i="25"/>
  <c r="D9" i="25"/>
  <c r="D11" i="25"/>
  <c r="D12" i="25"/>
  <c r="D13" i="25"/>
  <c r="D15" i="25"/>
  <c r="D16" i="25"/>
  <c r="D17" i="25"/>
  <c r="D22" i="25"/>
  <c r="D24" i="25"/>
  <c r="D25" i="25"/>
  <c r="D26" i="25"/>
  <c r="D28" i="25"/>
  <c r="D30" i="25"/>
  <c r="D4" i="25"/>
  <c r="E30" i="25"/>
  <c r="I30" i="23"/>
  <c r="I29" i="23"/>
  <c r="I28" i="23"/>
  <c r="I27" i="23"/>
  <c r="I26" i="23"/>
  <c r="E25" i="25"/>
  <c r="I25" i="23"/>
  <c r="E24" i="25"/>
  <c r="I24" i="23"/>
  <c r="I23" i="23"/>
  <c r="I22" i="23"/>
  <c r="I21" i="23"/>
  <c r="I20" i="23"/>
  <c r="I18" i="23"/>
  <c r="I17" i="23"/>
  <c r="I16" i="23"/>
  <c r="I15" i="23"/>
  <c r="I13" i="23"/>
  <c r="E12" i="25"/>
  <c r="I12" i="23"/>
  <c r="I11" i="23"/>
  <c r="I10" i="23"/>
  <c r="I9" i="23"/>
  <c r="I8" i="23"/>
  <c r="I7" i="23"/>
  <c r="I6" i="23"/>
  <c r="I5" i="23"/>
  <c r="E4" i="25"/>
  <c r="I4" i="23"/>
  <c r="P3" i="23"/>
  <c r="O3" i="23"/>
  <c r="N3" i="23"/>
  <c r="M3" i="23"/>
  <c r="L3" i="23"/>
  <c r="K3" i="23"/>
  <c r="J3" i="23"/>
  <c r="I3" i="23"/>
  <c r="H3" i="23"/>
  <c r="G3" i="23"/>
  <c r="F3" i="23"/>
  <c r="E3" i="23"/>
  <c r="D3" i="23"/>
  <c r="C3" i="23"/>
  <c r="C29" i="17"/>
  <c r="C29" i="23" s="1"/>
  <c r="G29" i="17"/>
  <c r="G29" i="23" s="1"/>
  <c r="D29" i="17"/>
  <c r="D29" i="23" s="1"/>
  <c r="E29" i="17"/>
  <c r="E29" i="23" s="1"/>
  <c r="F29" i="17"/>
  <c r="F29" i="23" s="1"/>
  <c r="H27" i="17"/>
  <c r="H27" i="23" s="1"/>
  <c r="D27" i="25" s="1"/>
  <c r="G23" i="17"/>
  <c r="G23" i="23" s="1"/>
  <c r="D23" i="25" s="1"/>
  <c r="G21" i="17"/>
  <c r="G21" i="23" s="1"/>
  <c r="D21" i="25" s="1"/>
  <c r="C20" i="17"/>
  <c r="C20" i="23" s="1"/>
  <c r="D20" i="25" s="1"/>
  <c r="F25" i="25" l="1"/>
  <c r="H25" i="25" s="1"/>
  <c r="F24" i="25"/>
  <c r="H24" i="25" s="1"/>
  <c r="D29" i="25"/>
  <c r="F12" i="25"/>
  <c r="H12" i="25" s="1"/>
  <c r="F4" i="25"/>
  <c r="H4" i="25" s="1"/>
  <c r="F30" i="25"/>
  <c r="H30" i="25" s="1"/>
  <c r="I19" i="17" l="1"/>
  <c r="E18" i="17"/>
  <c r="G14" i="17"/>
  <c r="I14" i="17"/>
  <c r="H10" i="17"/>
  <c r="G6" i="17"/>
  <c r="H6" i="17"/>
  <c r="E5" i="17"/>
  <c r="D3" i="16"/>
  <c r="D4" i="16"/>
  <c r="D112" i="16"/>
  <c r="D113" i="16"/>
  <c r="D114" i="16"/>
  <c r="D115" i="16"/>
  <c r="D116" i="16"/>
  <c r="D118" i="16"/>
  <c r="D119" i="16"/>
  <c r="D120" i="16"/>
  <c r="D121" i="16"/>
  <c r="G6" i="23" l="1"/>
  <c r="E18" i="23"/>
  <c r="D18" i="25" s="1"/>
  <c r="I19" i="23"/>
  <c r="D19" i="25" s="1"/>
  <c r="E5" i="23"/>
  <c r="D5" i="25" s="1"/>
  <c r="I14" i="23"/>
  <c r="H10" i="23"/>
  <c r="D10" i="25" s="1"/>
  <c r="H6" i="23"/>
  <c r="G14" i="23"/>
  <c r="D14" i="25" s="1"/>
  <c r="O22" i="15"/>
  <c r="N28" i="15"/>
  <c r="N17" i="15"/>
  <c r="E17" i="25" s="1"/>
  <c r="F17" i="25" s="1"/>
  <c r="H17" i="25" s="1"/>
  <c r="N16" i="15"/>
  <c r="M28" i="15"/>
  <c r="M26" i="15"/>
  <c r="E26" i="25" s="1"/>
  <c r="F26" i="25" s="1"/>
  <c r="H26" i="25" s="1"/>
  <c r="M14" i="15"/>
  <c r="M16" i="15"/>
  <c r="E16" i="25" s="1"/>
  <c r="F16" i="25" s="1"/>
  <c r="H16" i="25" s="1"/>
  <c r="L29" i="15"/>
  <c r="L28" i="15"/>
  <c r="E23" i="25"/>
  <c r="F23" i="25" s="1"/>
  <c r="H23" i="25" s="1"/>
  <c r="L19" i="15"/>
  <c r="L18" i="15"/>
  <c r="L15" i="15"/>
  <c r="E15" i="25" s="1"/>
  <c r="F15" i="25" s="1"/>
  <c r="H15" i="25" s="1"/>
  <c r="L14" i="15"/>
  <c r="L13" i="15"/>
  <c r="E13" i="25" s="1"/>
  <c r="F13" i="25" s="1"/>
  <c r="H13" i="25" s="1"/>
  <c r="L10" i="15"/>
  <c r="L7" i="15"/>
  <c r="L6" i="15"/>
  <c r="L5" i="15"/>
  <c r="K19" i="15"/>
  <c r="K18" i="15"/>
  <c r="K28" i="15"/>
  <c r="E28" i="25" s="1"/>
  <c r="F28" i="25" s="1"/>
  <c r="H28" i="25" s="1"/>
  <c r="E8" i="25"/>
  <c r="F8" i="25" s="1"/>
  <c r="H8" i="25" s="1"/>
  <c r="C3" i="14"/>
  <c r="C50" i="13"/>
  <c r="C48" i="13"/>
  <c r="C47" i="13"/>
  <c r="C46" i="13"/>
  <c r="C45" i="13"/>
  <c r="C44" i="13"/>
  <c r="C43" i="13"/>
  <c r="C42" i="13"/>
  <c r="C41" i="13"/>
  <c r="C40" i="13"/>
  <c r="C39" i="13"/>
  <c r="C38" i="13"/>
  <c r="N22" i="15" s="1"/>
  <c r="C36" i="13"/>
  <c r="C35" i="13"/>
  <c r="C34" i="13"/>
  <c r="N20" i="15" s="1"/>
  <c r="C24" i="13"/>
  <c r="C21" i="13"/>
  <c r="N11" i="15" s="1"/>
  <c r="E11" i="25" s="1"/>
  <c r="F11" i="25" s="1"/>
  <c r="H11" i="25" s="1"/>
  <c r="C18" i="13"/>
  <c r="C10" i="13"/>
  <c r="N9" i="15" s="1"/>
  <c r="C9" i="13"/>
  <c r="C4" i="13"/>
  <c r="C3" i="13"/>
  <c r="C101" i="12"/>
  <c r="C100" i="12"/>
  <c r="M29" i="15" s="1"/>
  <c r="C86" i="12"/>
  <c r="C85" i="12"/>
  <c r="C65" i="12"/>
  <c r="C64" i="12"/>
  <c r="C63" i="12"/>
  <c r="C62" i="12"/>
  <c r="C59" i="12"/>
  <c r="M21" i="15" s="1"/>
  <c r="C42" i="12"/>
  <c r="C41" i="12"/>
  <c r="E20" i="25" s="1"/>
  <c r="F20" i="25" s="1"/>
  <c r="H20" i="25" s="1"/>
  <c r="C31" i="12"/>
  <c r="C28" i="12"/>
  <c r="M19" i="15" s="1"/>
  <c r="C17" i="12"/>
  <c r="C16" i="12"/>
  <c r="M10" i="15" s="1"/>
  <c r="C12" i="12"/>
  <c r="M7" i="15" s="1"/>
  <c r="C8" i="12"/>
  <c r="M6" i="15" s="1"/>
  <c r="C5" i="12"/>
  <c r="M5" i="15" s="1"/>
  <c r="C52" i="11"/>
  <c r="C43" i="11"/>
  <c r="C39" i="11"/>
  <c r="C38" i="11"/>
  <c r="C25" i="11"/>
  <c r="C22" i="11"/>
  <c r="C16" i="11"/>
  <c r="C15" i="11"/>
  <c r="C13" i="11"/>
  <c r="C12" i="11"/>
  <c r="C9" i="11"/>
  <c r="C6" i="11"/>
  <c r="C4" i="11"/>
  <c r="C3" i="11"/>
  <c r="C37" i="10"/>
  <c r="C32" i="10"/>
  <c r="C31" i="10"/>
  <c r="C28" i="10"/>
  <c r="C5" i="10"/>
  <c r="C4" i="10"/>
  <c r="C3" i="10"/>
  <c r="E29" i="25" l="1"/>
  <c r="F29" i="25" s="1"/>
  <c r="H29" i="25" s="1"/>
  <c r="E7" i="25"/>
  <c r="F7" i="25" s="1"/>
  <c r="H7" i="25" s="1"/>
  <c r="E10" i="25"/>
  <c r="F10" i="25" s="1"/>
  <c r="H10" i="25" s="1"/>
  <c r="E21" i="25"/>
  <c r="F21" i="25" s="1"/>
  <c r="H21" i="25" s="1"/>
  <c r="E5" i="25"/>
  <c r="F5" i="25" s="1"/>
  <c r="H5" i="25" s="1"/>
  <c r="E22" i="25"/>
  <c r="F22" i="25" s="1"/>
  <c r="H22" i="25" s="1"/>
  <c r="E18" i="25"/>
  <c r="F18" i="25" s="1"/>
  <c r="H18" i="25" s="1"/>
  <c r="F19" i="25"/>
  <c r="H19" i="25" s="1"/>
  <c r="E6" i="25"/>
  <c r="E27" i="25"/>
  <c r="F27" i="25" s="1"/>
  <c r="H27" i="25" s="1"/>
  <c r="E19" i="25"/>
  <c r="E14" i="25"/>
  <c r="F14" i="25" s="1"/>
  <c r="H14" i="25" s="1"/>
  <c r="E9" i="25"/>
  <c r="F9" i="25" s="1"/>
  <c r="H9" i="25" s="1"/>
  <c r="D6" i="25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4" i="9"/>
  <c r="P22" i="8"/>
  <c r="N22" i="8"/>
  <c r="L22" i="8"/>
  <c r="J22" i="8"/>
  <c r="H22" i="8"/>
  <c r="F22" i="8"/>
  <c r="D22" i="8"/>
  <c r="P24" i="8"/>
  <c r="N24" i="8"/>
  <c r="L24" i="8"/>
  <c r="J24" i="8"/>
  <c r="H24" i="8"/>
  <c r="F24" i="8"/>
  <c r="D24" i="8"/>
  <c r="O28" i="8"/>
  <c r="M28" i="8"/>
  <c r="K28" i="8"/>
  <c r="I28" i="8"/>
  <c r="G28" i="8"/>
  <c r="E28" i="8"/>
  <c r="C28" i="8"/>
  <c r="O30" i="8"/>
  <c r="M30" i="8"/>
  <c r="K30" i="8"/>
  <c r="I30" i="8"/>
  <c r="G30" i="8"/>
  <c r="E30" i="8"/>
  <c r="C30" i="8"/>
  <c r="P30" i="8"/>
  <c r="N30" i="8"/>
  <c r="L30" i="8"/>
  <c r="J30" i="8"/>
  <c r="H30" i="8"/>
  <c r="F30" i="8"/>
  <c r="D30" i="8"/>
  <c r="O29" i="8"/>
  <c r="M29" i="8"/>
  <c r="K29" i="8"/>
  <c r="I29" i="8"/>
  <c r="G29" i="8"/>
  <c r="E29" i="8"/>
  <c r="C29" i="8"/>
  <c r="P29" i="8"/>
  <c r="N29" i="8"/>
  <c r="L29" i="8"/>
  <c r="J29" i="8"/>
  <c r="H29" i="8"/>
  <c r="F29" i="8"/>
  <c r="D29" i="8"/>
  <c r="P28" i="8"/>
  <c r="N28" i="8"/>
  <c r="L28" i="8"/>
  <c r="J28" i="8"/>
  <c r="H28" i="8"/>
  <c r="F28" i="8"/>
  <c r="D28" i="8"/>
  <c r="O27" i="8"/>
  <c r="M27" i="8"/>
  <c r="K27" i="8"/>
  <c r="I27" i="8"/>
  <c r="G27" i="8"/>
  <c r="E27" i="8"/>
  <c r="C27" i="8"/>
  <c r="P26" i="8"/>
  <c r="N26" i="8"/>
  <c r="L26" i="8"/>
  <c r="J26" i="8"/>
  <c r="H26" i="8"/>
  <c r="F26" i="8"/>
  <c r="D26" i="8"/>
  <c r="P27" i="8"/>
  <c r="N27" i="8"/>
  <c r="L27" i="8"/>
  <c r="J27" i="8"/>
  <c r="H27" i="8"/>
  <c r="F27" i="8"/>
  <c r="D27" i="8"/>
  <c r="O26" i="8"/>
  <c r="M26" i="8"/>
  <c r="K26" i="8"/>
  <c r="I26" i="8"/>
  <c r="G26" i="8"/>
  <c r="E26" i="8"/>
  <c r="C26" i="8"/>
  <c r="P25" i="8"/>
  <c r="N25" i="8"/>
  <c r="L25" i="8"/>
  <c r="J25" i="8"/>
  <c r="H25" i="8"/>
  <c r="F25" i="8"/>
  <c r="D25" i="8"/>
  <c r="O25" i="8"/>
  <c r="M25" i="8"/>
  <c r="K25" i="8"/>
  <c r="I25" i="8"/>
  <c r="G25" i="8"/>
  <c r="E25" i="8"/>
  <c r="C25" i="8"/>
  <c r="O24" i="8"/>
  <c r="M24" i="8"/>
  <c r="K24" i="8"/>
  <c r="I24" i="8"/>
  <c r="G24" i="8"/>
  <c r="E24" i="8"/>
  <c r="C24" i="8"/>
  <c r="P23" i="8"/>
  <c r="N23" i="8"/>
  <c r="L23" i="8"/>
  <c r="J23" i="8"/>
  <c r="H23" i="8"/>
  <c r="F23" i="8"/>
  <c r="D23" i="8"/>
  <c r="O23" i="8"/>
  <c r="M23" i="8"/>
  <c r="K23" i="8"/>
  <c r="I23" i="8"/>
  <c r="G23" i="8"/>
  <c r="E23" i="8"/>
  <c r="C23" i="8"/>
  <c r="O22" i="8"/>
  <c r="M22" i="8"/>
  <c r="K22" i="8"/>
  <c r="I22" i="8"/>
  <c r="G22" i="8"/>
  <c r="E22" i="8"/>
  <c r="C22" i="8"/>
  <c r="P21" i="8"/>
  <c r="N21" i="8"/>
  <c r="L21" i="8"/>
  <c r="J21" i="8"/>
  <c r="H21" i="8"/>
  <c r="F21" i="8"/>
  <c r="D21" i="8"/>
  <c r="O21" i="8"/>
  <c r="M21" i="8"/>
  <c r="K21" i="8"/>
  <c r="I21" i="8"/>
  <c r="G21" i="8"/>
  <c r="E21" i="8"/>
  <c r="C21" i="8"/>
  <c r="O20" i="8"/>
  <c r="M20" i="8"/>
  <c r="K20" i="8"/>
  <c r="I20" i="8"/>
  <c r="G20" i="8"/>
  <c r="E20" i="8"/>
  <c r="C20" i="8"/>
  <c r="P20" i="8"/>
  <c r="N20" i="8"/>
  <c r="L20" i="8"/>
  <c r="J20" i="8"/>
  <c r="H20" i="8"/>
  <c r="F20" i="8"/>
  <c r="D20" i="8"/>
  <c r="P19" i="8"/>
  <c r="N19" i="8"/>
  <c r="L19" i="8"/>
  <c r="J19" i="8"/>
  <c r="H19" i="8"/>
  <c r="F19" i="8"/>
  <c r="D19" i="8"/>
  <c r="O19" i="8"/>
  <c r="M19" i="8"/>
  <c r="K19" i="8"/>
  <c r="I19" i="8"/>
  <c r="G19" i="8"/>
  <c r="E19" i="8"/>
  <c r="C19" i="8"/>
  <c r="O18" i="8"/>
  <c r="M18" i="8"/>
  <c r="K18" i="8"/>
  <c r="I18" i="8"/>
  <c r="G18" i="8"/>
  <c r="E18" i="8"/>
  <c r="C18" i="8"/>
  <c r="P18" i="8"/>
  <c r="N18" i="8"/>
  <c r="L18" i="8"/>
  <c r="J18" i="8"/>
  <c r="H18" i="8"/>
  <c r="F18" i="8"/>
  <c r="D18" i="8"/>
  <c r="P17" i="8"/>
  <c r="N17" i="8"/>
  <c r="L17" i="8"/>
  <c r="J17" i="8"/>
  <c r="H17" i="8"/>
  <c r="F17" i="8"/>
  <c r="D17" i="8"/>
  <c r="O17" i="8"/>
  <c r="M17" i="8"/>
  <c r="K17" i="8"/>
  <c r="I17" i="8"/>
  <c r="G17" i="8"/>
  <c r="E17" i="8"/>
  <c r="C17" i="8"/>
  <c r="O16" i="8"/>
  <c r="M16" i="8"/>
  <c r="K16" i="8"/>
  <c r="I16" i="8"/>
  <c r="G16" i="8"/>
  <c r="E16" i="8"/>
  <c r="C16" i="8"/>
  <c r="P16" i="8"/>
  <c r="N16" i="8"/>
  <c r="L16" i="8"/>
  <c r="J16" i="8"/>
  <c r="H16" i="8"/>
  <c r="F16" i="8"/>
  <c r="D16" i="8"/>
  <c r="P15" i="8"/>
  <c r="N15" i="8"/>
  <c r="L15" i="8"/>
  <c r="J15" i="8"/>
  <c r="H15" i="8"/>
  <c r="F15" i="8"/>
  <c r="D15" i="8"/>
  <c r="O15" i="8"/>
  <c r="M15" i="8"/>
  <c r="K15" i="8"/>
  <c r="I15" i="8"/>
  <c r="G15" i="8"/>
  <c r="E15" i="8"/>
  <c r="C15" i="8"/>
  <c r="O14" i="8"/>
  <c r="M14" i="8"/>
  <c r="K14" i="8"/>
  <c r="I14" i="8"/>
  <c r="G14" i="8"/>
  <c r="E14" i="8"/>
  <c r="C14" i="8"/>
  <c r="P14" i="8"/>
  <c r="N14" i="8"/>
  <c r="L14" i="8"/>
  <c r="J14" i="8"/>
  <c r="H14" i="8"/>
  <c r="F14" i="8"/>
  <c r="D14" i="8"/>
  <c r="P13" i="8"/>
  <c r="N13" i="8"/>
  <c r="L13" i="8"/>
  <c r="J13" i="8"/>
  <c r="H13" i="8"/>
  <c r="F13" i="8"/>
  <c r="D13" i="8"/>
  <c r="O13" i="8"/>
  <c r="M13" i="8"/>
  <c r="K13" i="8"/>
  <c r="I13" i="8"/>
  <c r="G13" i="8"/>
  <c r="E13" i="8"/>
  <c r="C13" i="8"/>
  <c r="O12" i="8"/>
  <c r="M12" i="8"/>
  <c r="K12" i="8"/>
  <c r="I12" i="8"/>
  <c r="G12" i="8"/>
  <c r="E12" i="8"/>
  <c r="C12" i="8"/>
  <c r="P12" i="8"/>
  <c r="N12" i="8"/>
  <c r="L12" i="8"/>
  <c r="J12" i="8"/>
  <c r="H12" i="8"/>
  <c r="F12" i="8"/>
  <c r="D12" i="8"/>
  <c r="P11" i="8"/>
  <c r="N11" i="8"/>
  <c r="L11" i="8"/>
  <c r="J11" i="8"/>
  <c r="H11" i="8"/>
  <c r="F11" i="8"/>
  <c r="D11" i="8"/>
  <c r="O11" i="8"/>
  <c r="M11" i="8"/>
  <c r="K11" i="8"/>
  <c r="I11" i="8"/>
  <c r="G11" i="8"/>
  <c r="E11" i="8"/>
  <c r="C11" i="8"/>
  <c r="O10" i="8"/>
  <c r="M10" i="8"/>
  <c r="K10" i="8"/>
  <c r="I10" i="8"/>
  <c r="G10" i="8"/>
  <c r="E10" i="8"/>
  <c r="C10" i="8"/>
  <c r="P10" i="8"/>
  <c r="N10" i="8"/>
  <c r="L10" i="8"/>
  <c r="J10" i="8"/>
  <c r="H10" i="8"/>
  <c r="F10" i="8"/>
  <c r="D10" i="8"/>
  <c r="P9" i="8"/>
  <c r="N9" i="8"/>
  <c r="L9" i="8"/>
  <c r="J9" i="8"/>
  <c r="H9" i="8"/>
  <c r="F9" i="8"/>
  <c r="D9" i="8"/>
  <c r="O9" i="8"/>
  <c r="M9" i="8"/>
  <c r="K9" i="8"/>
  <c r="I9" i="8"/>
  <c r="G9" i="8"/>
  <c r="E9" i="8"/>
  <c r="C9" i="8"/>
  <c r="O8" i="8"/>
  <c r="M8" i="8"/>
  <c r="K8" i="8"/>
  <c r="I8" i="8"/>
  <c r="G8" i="8"/>
  <c r="E8" i="8"/>
  <c r="C8" i="8"/>
  <c r="P8" i="8"/>
  <c r="N8" i="8"/>
  <c r="L8" i="8"/>
  <c r="J8" i="8"/>
  <c r="H8" i="8"/>
  <c r="F8" i="8"/>
  <c r="D8" i="8"/>
  <c r="P7" i="8"/>
  <c r="N7" i="8"/>
  <c r="L7" i="8"/>
  <c r="J7" i="8"/>
  <c r="H7" i="8"/>
  <c r="F7" i="8"/>
  <c r="D7" i="8"/>
  <c r="O7" i="8"/>
  <c r="M7" i="8"/>
  <c r="K7" i="8"/>
  <c r="I7" i="8"/>
  <c r="G7" i="8"/>
  <c r="E7" i="8"/>
  <c r="C7" i="8"/>
  <c r="O6" i="8"/>
  <c r="M6" i="8"/>
  <c r="K6" i="8"/>
  <c r="I6" i="8"/>
  <c r="G6" i="8"/>
  <c r="E6" i="8"/>
  <c r="C6" i="8"/>
  <c r="P6" i="8"/>
  <c r="N6" i="8"/>
  <c r="L6" i="8"/>
  <c r="J6" i="8"/>
  <c r="H6" i="8"/>
  <c r="F6" i="8"/>
  <c r="D6" i="8"/>
  <c r="P5" i="8"/>
  <c r="N5" i="8"/>
  <c r="L5" i="8"/>
  <c r="J5" i="8"/>
  <c r="H5" i="8"/>
  <c r="F5" i="8"/>
  <c r="D5" i="8"/>
  <c r="O5" i="8"/>
  <c r="M5" i="8"/>
  <c r="K5" i="8"/>
  <c r="I5" i="8"/>
  <c r="G5" i="8"/>
  <c r="E5" i="8"/>
  <c r="C5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F6" i="25" l="1"/>
  <c r="H6" i="25" s="1"/>
  <c r="H31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tc={1B8D441C-4EF9-4CC1-99AD-8AC77E7D4244}</author>
    <author>tc={CBB549A9-C9DE-49A4-B48D-31FFD9FB25B5}</author>
  </authors>
  <commentList>
    <comment ref="C3" authorId="0" shapeId="0" xr:uid="{1B8D441C-4EF9-4CC1-99AD-8AC77E7D424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Permuta de dinheiro (inscrição, anuidade etc.)</t>
      </text>
    </comment>
    <comment ref="J3" authorId="1" shapeId="0" xr:uid="{CBB549A9-C9DE-49A4-B48D-31FFD9FB25B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Permuta de Equipamentos ou Materiais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</authors>
  <commentList>
    <comment ref="B30" authorId="0" shapeId="0" xr:uid="{3C83E169-BA3A-44AD-9335-24B9E9D2FC52}">
      <text>
        <r>
          <rPr>
            <b/>
            <sz val="9"/>
            <color indexed="81"/>
            <rFont val="Segoe UI"/>
            <family val="2"/>
          </rPr>
          <t>FELLIPE RODRIGUES</t>
        </r>
      </text>
    </comment>
    <comment ref="B31" authorId="0" shapeId="0" xr:uid="{0483BBBB-E913-4990-AD04-7C8BD78D54DB}">
      <text>
        <r>
          <rPr>
            <b/>
            <sz val="9"/>
            <color indexed="81"/>
            <rFont val="Segoe UI"/>
            <family val="2"/>
          </rPr>
          <t xml:space="preserve">Projeto Mais Educação na Escola Francisco Pereira Coutinho (Décio Itajubá)
</t>
        </r>
      </text>
    </comment>
  </commentList>
</comments>
</file>

<file path=xl/sharedStrings.xml><?xml version="1.0" encoding="utf-8"?>
<sst xmlns="http://schemas.openxmlformats.org/spreadsheetml/2006/main" count="2345" uniqueCount="513">
  <si>
    <t>AC</t>
  </si>
  <si>
    <t>ATLETA</t>
  </si>
  <si>
    <t>TECNICO</t>
  </si>
  <si>
    <t>ÁRBITRO</t>
  </si>
  <si>
    <t>AL</t>
  </si>
  <si>
    <t>UF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</si>
  <si>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</si>
  <si>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</si>
  <si>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</si>
  <si>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</si>
  <si>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</si>
  <si>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</si>
  <si>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</si>
  <si>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</si>
  <si>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</si>
  <si>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</si>
  <si>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</si>
  <si>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</si>
  <si>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ADMINSTRADOR</t>
  </si>
  <si>
    <t>PB</t>
  </si>
  <si>
    <t>PE</t>
  </si>
  <si>
    <t>PI</t>
  </si>
  <si>
    <t>OUTROS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</si>
  <si>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</si>
  <si>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</si>
  <si>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</si>
  <si>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</si>
  <si>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</si>
  <si>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</si>
  <si>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</si>
  <si>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</si>
  <si>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</si>
  <si>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</si>
  <si>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ATLETA/R$</t>
  </si>
  <si>
    <t>TECNICO/R$</t>
  </si>
  <si>
    <t>ÁRBITRO/R$</t>
  </si>
  <si>
    <t>ADMINSTRADOR/R$</t>
  </si>
  <si>
    <t>OUTROS/R$</t>
  </si>
  <si>
    <t>Quanti 2013</t>
  </si>
  <si>
    <t>Valor 2013</t>
  </si>
  <si>
    <t>Quanti 2014</t>
  </si>
  <si>
    <t>Valor 2014</t>
  </si>
  <si>
    <t>Quanti 2015</t>
  </si>
  <si>
    <t>Valor 2015</t>
  </si>
  <si>
    <t>Quanti 2016</t>
  </si>
  <si>
    <t>Valor 2016</t>
  </si>
  <si>
    <t>Quanti 2017</t>
  </si>
  <si>
    <t>Valor 2017</t>
  </si>
  <si>
    <t>Quanti 2018</t>
  </si>
  <si>
    <t>Valor 2018</t>
  </si>
  <si>
    <t>Quanti 2019</t>
  </si>
  <si>
    <t>Valor 2019</t>
  </si>
  <si>
    <t>Federação</t>
  </si>
  <si>
    <t>Rótulos de Linha</t>
  </si>
  <si>
    <t>Total Geral</t>
  </si>
  <si>
    <t>Soma de Valor 2014</t>
  </si>
  <si>
    <t>Soma de Valor 2015</t>
  </si>
  <si>
    <t>Soma de Valor 2016</t>
  </si>
  <si>
    <t>Soma de Valor 2017</t>
  </si>
  <si>
    <t>Soma de Valor 2018</t>
  </si>
  <si>
    <t>Soma de Valor 2019</t>
  </si>
  <si>
    <t>PAF - 2014</t>
  </si>
  <si>
    <t>FEDERAÇÃO</t>
  </si>
  <si>
    <t>QUANTIDADE</t>
  </si>
  <si>
    <t>VALOR</t>
  </si>
  <si>
    <t>HOSPEDAGEM FLAVIO JOAÇABA</t>
  </si>
  <si>
    <t>5 MESAS DE TÊNIS DE MESA TIBHAR SMASH BLUE (TIBHAR 2014)</t>
  </si>
  <si>
    <t>9 PISOS ESPORTIVOS TINSUE (2013)</t>
  </si>
  <si>
    <t>INSCRIÇÃO CURSO ITTF ALICE LAVAREDA</t>
  </si>
  <si>
    <t>DEBITO ANUIDADE 2014</t>
  </si>
  <si>
    <t>CÂMERA DIGITAL COOLPIX S2600 - BLACK (TM 033/13)</t>
  </si>
  <si>
    <t>MULTIFUNCIONAL HP 3516 ALL IN ON PRETO - TM 033/13</t>
  </si>
  <si>
    <t>NOTEBOOK SAMSUNG AMD - TM 033/13</t>
  </si>
  <si>
    <t>CURSO TECNICO JOAÇABA JOHAN MORA</t>
  </si>
  <si>
    <t>8 MESAS TIBHAR E 12 DUZIAS DE BOLA TREINAMENTO</t>
  </si>
  <si>
    <t>APOIO ACERTO DEBITO ANUIDADE</t>
  </si>
  <si>
    <t>20 DUZIAS BOLA TREINAMENTO</t>
  </si>
  <si>
    <t>CURSO ITTF NIVEL 1 - DUAS BOLAS RICARDO CEBOLA</t>
  </si>
  <si>
    <t>INSCRIÇOES SELEÇÕES 22 BRASILEIRO</t>
  </si>
  <si>
    <t>12 MESAS DE TÊNIS DE MESA TIBHAR (MUNDIAL DE VETERANOS)</t>
  </si>
  <si>
    <t>08 MESAS DE TÊNIS DE MESA TIBHAR (2011)</t>
  </si>
  <si>
    <t>24 INSCRIÇÕES BRASILEIRO JOAÇABA</t>
  </si>
  <si>
    <t>8 PISOS ESPORTIVOS TINSUE (2013)</t>
  </si>
  <si>
    <t>IMPRESSORA HP OFFICEJET PRO</t>
  </si>
  <si>
    <t>4 MESAS DE TÊNIS DE MESA TIBHAR SMASH BLUE (TIBHAR 2011 - USADAS)</t>
  </si>
  <si>
    <t>3 MESAS DE TÊNIS DE MESA STAG</t>
  </si>
  <si>
    <t>INSCRIÇOES SELEÇÕES 18 EQUIPES BRASILEIRO</t>
  </si>
  <si>
    <t>INSCRIÇÕES 6 DUPLAS DE 100</t>
  </si>
  <si>
    <t>8 MESAS DE TÊNIS DE MESA TIBHAR (MUNDIAL DE VETERANOS)</t>
  </si>
  <si>
    <t>AUTORIZAÇÃO 11 ATLETAS PARANA JOGAREM PARAGUAY</t>
  </si>
  <si>
    <t>PAF - 2015</t>
  </si>
  <si>
    <t>OBS</t>
  </si>
  <si>
    <t>8 MESAS DE ÁRBITRO TIBHAR</t>
  </si>
  <si>
    <t>PERMISSÃO DE USO (06/07/2015)</t>
  </si>
  <si>
    <t>4 conjuntos de rede/suporte SANEI</t>
  </si>
  <si>
    <t>Netto Alagoas - FEDAL (Entregues durante a Copa Brasil de Maceio/AL)</t>
  </si>
  <si>
    <t>120 DZ DE BOLAS PLÁSTICAS TIBHAR BASIC</t>
  </si>
  <si>
    <t>BOLAS PLÁSTICAS</t>
  </si>
  <si>
    <t>15 ROLOS DE PISOS ESPORTIVOS TINSUE</t>
  </si>
  <si>
    <t>-------------------------</t>
  </si>
  <si>
    <t>8 MESAS DE TÊNIS DE MESA TIBHAR SMASH BLUE</t>
  </si>
  <si>
    <t>INSCRIÇÃO EQUIPES BAHIA BRASILEIRO LAURO DE FREITAS</t>
  </si>
  <si>
    <t>8 MESAS DE TÊNIS DE MESA SANEI</t>
  </si>
  <si>
    <t>8 REDES DE TÊNIS DE MESA SANEI</t>
  </si>
  <si>
    <t>24 DZ DE BOLAS ***</t>
  </si>
  <si>
    <t>CELULÓIDE</t>
  </si>
  <si>
    <t>12 DZ DE BOLAS PLÁSTICAS TIBHAR BASIC</t>
  </si>
  <si>
    <t>O SR. JORAN FREIRE SOLICITOU QUE O ENVIO FOSSE FEITO PARA A AABB (RIZZONE)</t>
  </si>
  <si>
    <t>8 CONJUNTOS DE REDE E SUPORTE STAG</t>
  </si>
  <si>
    <t>8 PLACARES DE TÊNIS DE MESA STAG</t>
  </si>
  <si>
    <t>8 MESAS PARA ÁRBITRO TIBHAR (TM 302/08)</t>
  </si>
  <si>
    <t>36 DUZIAS DE BOLAS DE COMPETIÇÃO</t>
  </si>
  <si>
    <t>12 DUZIAS BOLAS COMPETIÇÃO</t>
  </si>
  <si>
    <t>SOLICITADO POR LINALDO</t>
  </si>
  <si>
    <t>06 DZ DE BOLAS PLÁSTICAS TIBHAR BASIC</t>
  </si>
  <si>
    <t>SOLICITADO POR RENATO BELISÁRIO</t>
  </si>
  <si>
    <t>1 MESA DE TÊNIS DE MESA TIBHAR SMASH BLUE</t>
  </si>
  <si>
    <t>1 REDE/SUPORTE PARA TÊNIS DE MESA TIBHAR SMASH</t>
  </si>
  <si>
    <t>1 PAR DE PORTA TOALHAS TIBHAR DE PAPELÃO</t>
  </si>
  <si>
    <t>8 ROLOS PISO TINSUE</t>
  </si>
  <si>
    <t>5 MESAS SANEI</t>
  </si>
  <si>
    <t>ENTREGUES NO BRASILEIRO</t>
  </si>
  <si>
    <t>6 DUZIAS BOLAS COMPETIÇÃO E 6 DUZIAS TREINAMENTO</t>
  </si>
  <si>
    <t>SOLICITADO POR JEAN ABREU PARANÁ - FEDPR</t>
  </si>
  <si>
    <t>ANUIDADE 2015</t>
  </si>
  <si>
    <t>12 DZ DE BOLAS DE TREINAMENTO STAG + 12 DZ DE BOLAS DE COMPETIÇÃO TIBHAR</t>
  </si>
  <si>
    <t>ENTREGUES EM MÃOS AO SR. LUIZ MAURO (FLUMINENSE F.C)</t>
  </si>
  <si>
    <t>24 DZ DE BOLAS PLÁSTICAS TIBHAR BASIC</t>
  </si>
  <si>
    <t>10 MESAS DE MADEIRA PARA ÁRBITRO STAG</t>
  </si>
  <si>
    <t>RETIRADO NO DEPÓSITO NO DIA 03/07/2015 PELO PABLO</t>
  </si>
  <si>
    <t xml:space="preserve">20 PORTA-TOALHAS STAG </t>
  </si>
  <si>
    <t>10 PLACARES MANUAIS TIBHAR</t>
  </si>
  <si>
    <t>24 DUZIAS BOLAS TREINAMENTO</t>
  </si>
  <si>
    <t>SOLICITADO POR LUIZ MAURO - FLUMINENSE</t>
  </si>
  <si>
    <t>ANTECIPAÇÃO CRÉDITO DEBITO DIVIDA</t>
  </si>
  <si>
    <t>6 DZ DE BOLAS DE TREINAMENTO</t>
  </si>
  <si>
    <t>VINICIUS GOIS - CT TOBIAS - SE</t>
  </si>
  <si>
    <t>ENVIADOS A/C SR. LEANDRO AMÂNCIO - E.E DR. ALARICO SILVEIRA - BOLAS DE CELULÓIDE (4 DZ STAG, 1 729 E 1 TIBHAR)</t>
  </si>
  <si>
    <t>PAF - 2016</t>
  </si>
  <si>
    <t>DATA</t>
  </si>
  <si>
    <t>6 DZ DE BOLAS PLÁSTICAS TIBHAR ***</t>
  </si>
  <si>
    <t>FRETE DO ENVIO DAS BOLAS</t>
  </si>
  <si>
    <t>25 DZ DE BOLAS PLÁSTICAS TIBHAR BASIC</t>
  </si>
  <si>
    <t>6 BOLAS PLÁSTICAS TIBHAR BASIC</t>
  </si>
  <si>
    <t>24 DZ BOLAS PLÁSTICAS TIBHAR BASIC</t>
  </si>
  <si>
    <t>Anuidade 2016</t>
  </si>
  <si>
    <t>----------------</t>
  </si>
  <si>
    <t>3,5 DZ DE BOLAS PLÁSTICAS DHS ***</t>
  </si>
  <si>
    <t>27 ROLOS DE PISOS ESPORTIVOS TARKETT</t>
  </si>
  <si>
    <t>4 MESAS DE TÊNIS DE MESA SANEI ABSOLUT-W</t>
  </si>
  <si>
    <t>4 CONJUNTOS DE REDE E SUPORTE SANEI</t>
  </si>
  <si>
    <t>40 SEPARADORES DE ÁREA DE JOGO SANEI</t>
  </si>
  <si>
    <t>8 PORTA TOALHAS DE PAPELÃO SANEI</t>
  </si>
  <si>
    <t>4 CADEIRAS DE ÁRBITRO SANEI</t>
  </si>
  <si>
    <t>4 MESAS DE ÁRBITRO SANEI</t>
  </si>
  <si>
    <t>4 PLACARES MANUAIS</t>
  </si>
  <si>
    <t>11 ROLOS DE PISOS TINSUE TT013 (7,70m x 1,50m)</t>
  </si>
  <si>
    <t>50 DZ DE BOLAS PLÁSTICAS TIBHAR BASIC</t>
  </si>
  <si>
    <t>2 MESAS DE TÊNIS DE MESA AUTOMAT 25mm</t>
  </si>
  <si>
    <t>12 DÚZIAS DE BOLAS DE CELULÓIDE *** (NOVAS)</t>
  </si>
  <si>
    <t>3 MESAS DE TÊNIS DE MESA SANEI ABSOLUT-W</t>
  </si>
  <si>
    <t>3 CONJUNTOS DE REDE E SUPORTE SANEI</t>
  </si>
  <si>
    <t>30 SEPARADORES DE ÁREA DE JOGO SANEI</t>
  </si>
  <si>
    <t>6 PORTA TOALHAS DE PAPELÃO SANEI</t>
  </si>
  <si>
    <t>3 CADEIRAS DE ÁRBITRO SANEI</t>
  </si>
  <si>
    <t>3 MESAS DE ÁRBITRO SANEI</t>
  </si>
  <si>
    <t>3 PLACARES MANUAIS</t>
  </si>
  <si>
    <t>7 ROLOS DE PISOS TINSUE TT013 (8,60m X 1,80m)</t>
  </si>
  <si>
    <t>30 DÚZIAS DE BOLAS PLÁSTICAS TIBHAR BASIC (USADAS)</t>
  </si>
  <si>
    <t>4 DÚZIAS DE BOLAS PLÁSTICAS TIBHAR *** (USADAS)</t>
  </si>
  <si>
    <t>6 DZ DE BOLAS DE CELULÓIDE PARA TREINAMENTO (NOVAS)</t>
  </si>
  <si>
    <t>39 DZ DE BOLAS DE CELULÓIDE PARA COMPETIÇÃO (USADAS)</t>
  </si>
  <si>
    <t>10 DZ DE BOLAS DE CELULÓIDE PARA COMPETIÇÃO (NOVAS)</t>
  </si>
  <si>
    <t>1/2 DZ DE BOLAS DE PLÁSTICO PARA COMPETIÇÃO (USADAS)</t>
  </si>
  <si>
    <t>28,5 DZ DE BOLAS DE PLÁSTICO PARA TREINAMENTO (USADAS)</t>
  </si>
  <si>
    <t>FRETE DO ENVIO (SEDEX)</t>
  </si>
  <si>
    <t>6 MESAS DE TÊNIS DE MESA SANEI ABSOLUT-W</t>
  </si>
  <si>
    <t>6 CONJUNTOS DE REDE E SUPORTE SANEI</t>
  </si>
  <si>
    <t>60 SEPARADORES DE ÁREA DE JOGO SANEI</t>
  </si>
  <si>
    <t>12 PORTA TOALHAS DE PAPELÃO SANEI</t>
  </si>
  <si>
    <t>6 CADEIRAS DE ÁRBITRO SANEI</t>
  </si>
  <si>
    <t>6 MESAS DE ÁRBITRO SANEI</t>
  </si>
  <si>
    <t>6 PLACARES MANUAIS</t>
  </si>
  <si>
    <t>12 ROLOS DE PISOS TINSUE TT013 (8,60m X 1,50m)</t>
  </si>
  <si>
    <t>100 DZ DE BOLAS PLÁSTICAS TIBHAR BASIC</t>
  </si>
  <si>
    <t>3 DZ DE BOLAS PLÁSTICAS TIBHAR ***</t>
  </si>
  <si>
    <t>12 DZ DE BOLAS DE CELULÓIDE *** (Ricardo Jantzen - Fluminense)</t>
  </si>
  <si>
    <t>24 DZ DE BOLAS DE CELULÓIDE TIBHAR ***</t>
  </si>
  <si>
    <t>8 ROLOS DE PISOS TINSUE TT013 (8,60m X 1,80m)</t>
  </si>
  <si>
    <t>5 ROLOS DE PISOS TINSUE TT013 (8,60m X 1,50m)</t>
  </si>
  <si>
    <t>14 ROLOS DE PISOS TINSUE TT013 (8,60m X 1,80m)</t>
  </si>
  <si>
    <t>60 DZ DE BOLAS PLÁSTICAS TIBHAR ***</t>
  </si>
  <si>
    <t>7 ROLOS DE PISOS TINSUE TT013 (17,20m X 1,50m)</t>
  </si>
  <si>
    <t>2 ROLOS DE PISOS TINSUE TT013 (8,60m X 1,50m)</t>
  </si>
  <si>
    <t>15 CONJUNTOS DE REDE E SUPORTE TIBHAR SMASH</t>
  </si>
  <si>
    <t>20 DZ DE BOLAS PLÁSTICAS TIBHAR BASIC</t>
  </si>
  <si>
    <t>PAF - 2017</t>
  </si>
  <si>
    <t>45 SEPARADORES SANEI DE 1,40m</t>
  </si>
  <si>
    <t>12 DZ DE BOLAS DE CELULÓIDE ***  (Grêmio Social Esportivo de rocha Miranda)</t>
  </si>
  <si>
    <t>CE (Juazeiro)</t>
  </si>
  <si>
    <t>2 MESAS DE TÊNIS DE MESA TIBHAR</t>
  </si>
  <si>
    <t>3 CONJUNTOS DE REDE E SUPORTE STAG</t>
  </si>
  <si>
    <t>2 CONJUNTOS DE REDE E SUPORTE TIBHAR</t>
  </si>
  <si>
    <t>50 SEPARADORES PIRAMIDAIS PARA TÊNIS DE MESA DHS 1,40m</t>
  </si>
  <si>
    <t>10 PORTA TOALHAS DE PAPELÃO DHS</t>
  </si>
  <si>
    <t>5 CADEIRAS DE ÁRBITRO DHS</t>
  </si>
  <si>
    <t>5 MESAS DE ÁRBITRO DHS</t>
  </si>
  <si>
    <t>3 PLACARES DE TÊNIS DE MESA MANUAIS STAG</t>
  </si>
  <si>
    <t>2 PLACARES DE TÊNIS DE MESA MANUAIS TIBHAR</t>
  </si>
  <si>
    <t>24 DZ DE BOLAS DE CELULÓIDE *** (USADAS)</t>
  </si>
  <si>
    <t>2,5 DZ DE BOLAS DE PLÁSTICO *** DHS (RIO 2016)</t>
  </si>
  <si>
    <t xml:space="preserve">18 DZ DE BOLAS DE CELULÓIDE *** </t>
  </si>
  <si>
    <t>5 MESAS DE TÊNIS DE MESA STAG</t>
  </si>
  <si>
    <t>5 REDES E SUPORTES DE TÊNIS DE MESA TIBHAR</t>
  </si>
  <si>
    <t>50 SEPARADORES PARA TÊNIS DE MESA SANEI 1,40m</t>
  </si>
  <si>
    <t>5 CADEIRAS DE ÁRBITRO STAG</t>
  </si>
  <si>
    <t>5 MESAS DE ÁRBITRO TIBHAR</t>
  </si>
  <si>
    <t>5 PLACARES DE TÊNIS DE MESA MANUAIS STAG</t>
  </si>
  <si>
    <t>6 DÚZIAS DE BOLAS DE CELULÓIDE ***</t>
  </si>
  <si>
    <t>200 PLASTICAS DOUBLE FISH *** (NOVAS)</t>
  </si>
  <si>
    <t>341BOLAS PLÁSTICAS TIBHAR *** (USADAS)</t>
  </si>
  <si>
    <t>20 SEPARADORES DE 2 METROS (Grêmio Social Esportivo de rocha Miranda)</t>
  </si>
  <si>
    <t>5 DZ DE BOLAS PLÁSTICAS *** DHS</t>
  </si>
  <si>
    <t>17,5 DZ DE BOLAS PLÁSTICAS DE TREINAMENTO DHS</t>
  </si>
  <si>
    <t>DESCONTADO DOS CRÉDITOS DE TRA 2017</t>
  </si>
  <si>
    <t>4 RAQUETES YASAKA (CONSULADO JAPONÊS)</t>
  </si>
  <si>
    <t>10 DZ DE BOLAS DE CELULÓIDE TIBHAR ***</t>
  </si>
  <si>
    <t>04/05/207</t>
  </si>
  <si>
    <t>12 DZ DE BOLAS PLÁSTICAS TIBHAR ***</t>
  </si>
  <si>
    <t>12 DZ DE BOLAS DE CELULÓIDE *** (FLUMINENSE)</t>
  </si>
  <si>
    <t>24 DZ DE BOLAS DE CELULÓIDE *** (CURSO ITTF NÍVEL 1)</t>
  </si>
  <si>
    <t>6 DZ DE BOLAS DE CELULÓIDE TIBHAR ***</t>
  </si>
  <si>
    <t>360 DZ DE BOLAS DE CELULÓIDE ***</t>
  </si>
  <si>
    <t>4 MESAS DE TÊNIS DE MESA STAG</t>
  </si>
  <si>
    <t>4 MESAS DE TÊNIS DE MESA TIBHAR</t>
  </si>
  <si>
    <t>8 CONJUNTOS DE REDE E SUPORTE TIBHAR</t>
  </si>
  <si>
    <t>PAF - 2018</t>
  </si>
  <si>
    <t>CONSOLIDADO - TRAs</t>
  </si>
  <si>
    <t>955.518 ECCO DO BRASIL</t>
  </si>
  <si>
    <t>59.307.595/0001-75</t>
  </si>
  <si>
    <t>SÃO CAETANO DO SUL</t>
  </si>
  <si>
    <t>Possível Desconto</t>
  </si>
  <si>
    <t>IMPRESSORA MULTIFUNCIONAL HP LASERJET</t>
  </si>
  <si>
    <t>961.005 ECCO DO BRASIL</t>
  </si>
  <si>
    <t>TV PHILIPS LCD 42" FULL HD</t>
  </si>
  <si>
    <t>1180 RLZ COM. ELETR.</t>
  </si>
  <si>
    <t>FILMADORA SONY HDR-PJ 230 - TC/ME - 777876/2012</t>
  </si>
  <si>
    <t>307.698 MOBY COM. VAR.</t>
  </si>
  <si>
    <t>ESTEIRAS C/ PROG. E INCLINAÇÃO MECÂNICA - TC/ME - 777876/2012</t>
  </si>
  <si>
    <t>316.964 MOBLY COM. VAR.</t>
  </si>
  <si>
    <t>CAMAS ELÁSTICAS METALMIX - TC/ME - 777876/2012</t>
  </si>
  <si>
    <t>307.684 MOBLY COM. VAR.</t>
  </si>
  <si>
    <t>BICICLETAS HORIZONTAIS MAGNÉTICAS JOHNSON</t>
  </si>
  <si>
    <t xml:space="preserve">45672 ACWARE COMERC. </t>
  </si>
  <si>
    <t>BALANÇA TOLEDO - TC/ME - 777876/2012</t>
  </si>
  <si>
    <t>16-15 A ( INVOICE SAN-EI)</t>
  </si>
  <si>
    <t>MESAS DE TÊNIS DE MESA SANEI PARAGON SENSOR (DOAÇÃO)</t>
  </si>
  <si>
    <t>164962 (INVOICE TIBHAR)</t>
  </si>
  <si>
    <t>BORRACHAS PARA RAQUETES TIBHAR</t>
  </si>
  <si>
    <t>DZ DE BOLAS DE TREINAMENTO TIBHAR BASIC</t>
  </si>
  <si>
    <t>DZ DE BOLAS DE COMPETIÇÃO TIBHAR ***</t>
  </si>
  <si>
    <t>SEPARADORES DE TÊNIS DE MESA TIBHAR 2,0m</t>
  </si>
  <si>
    <t>ROBÔ TIBHAR MASTER</t>
  </si>
  <si>
    <t>PORTA-TOALHAS TIBHAR DE PAPELÃO</t>
  </si>
  <si>
    <t>MESAS DE ARBITRAGEM DE MADEIRA TIBHAR</t>
  </si>
  <si>
    <t>PLACARES TIBHAR SMASH</t>
  </si>
  <si>
    <t>REDES E SUPORTES TIBHAR SMASH</t>
  </si>
  <si>
    <t>MESAS DE TÊNIS DE MESA CORNILLEAU COMPETITION 740</t>
  </si>
  <si>
    <t>MESAS DE TÊNIS DE MESA JOOLA ROLLOMAT WC</t>
  </si>
  <si>
    <t>MESAS DE TÊNIS DE MESA DONIC SLC WC</t>
  </si>
  <si>
    <t>MESAS DE TÊNIS DE MESA TIBHAR SMASH 28</t>
  </si>
  <si>
    <t>46.814.463/0001-98</t>
  </si>
  <si>
    <t>ASSOCIAÇÃO SAMBERNARDENSE DE TÊNIS DE MESA / PALMEIRAS</t>
  </si>
  <si>
    <t xml:space="preserve"> SEPARADORES DE TÊNIS DE MESA TIBHAR 2,0m</t>
  </si>
  <si>
    <t>ROLOS DE PISOS TARKETT (28 m²)</t>
  </si>
  <si>
    <t>MESA DE TÊNIS DE MESA CORNILLEAU COMPETITION 740</t>
  </si>
  <si>
    <t>MESA DE TÊNIS DE MESA JOOLA ROLLOMAT WC</t>
  </si>
  <si>
    <t>MESA DE TÊNIS DE MESA DONIC SLC WC</t>
  </si>
  <si>
    <t>MESA DE TÊNIS DE MESA TIBHAR SMASH 28</t>
  </si>
  <si>
    <t>2</t>
  </si>
  <si>
    <t>DÚZIAS DE BOLAS PLÁSTICAS DE TÊNIS DE MESA TIBHAR ***</t>
  </si>
  <si>
    <t>DÚZIAS DE BOLAS PLÁSTICAS DE TÊNIS DE MESA TIBHAR BASIC</t>
  </si>
  <si>
    <t>REDE E SUPORTE DE TÊNIS DE MESA SANEI TT014</t>
  </si>
  <si>
    <t>MESA DE TÊNIS DE MESA SANEI PARA COMPETIÇÃO COM RODAS TT017</t>
  </si>
  <si>
    <t>144400 (INVOICE TIBHAR)</t>
  </si>
  <si>
    <t>83</t>
  </si>
  <si>
    <t>13.351.721/0001-98</t>
  </si>
  <si>
    <t>FEDERAÇÃO DE SERGIPE</t>
  </si>
  <si>
    <t>MESAS DE TÊNIS DE MESA TIBHAR</t>
  </si>
  <si>
    <t>CONJUNTOS DE REDE E SUPORTE TIBHAR SMASH</t>
  </si>
  <si>
    <t>164963 (INVOICE TIBHAR)</t>
  </si>
  <si>
    <t>03.299.768/0001-04</t>
  </si>
  <si>
    <t>ASSOCIAÇÃO DESPORTIVA FRANTT</t>
  </si>
  <si>
    <t>BORRACHAS PARA RAQUETES TIBHAR AURUS MAX (TC/ME - 776484/2012)</t>
  </si>
  <si>
    <t>DZ DE BOLAS DE TREINAMENTO TIBHAR BASIC (TC/ME - 776484/2012)</t>
  </si>
  <si>
    <t>DZ DE BOLAS DE COMPETIÇÃO TIBHAR *** (TC/ME - 776484/2012)</t>
  </si>
  <si>
    <t>SEPARADORES DE TÊNIS DE MESA TIBHAR 2,00m (TC/ME - 776484/2012)</t>
  </si>
  <si>
    <t>ROBÔ TIBHAR MASTER (TC/ME - 776484/2012)</t>
  </si>
  <si>
    <t>PORTA-TOALHAS DE PAPELÃO TIBHAR (TC/ME - 776484/2012)</t>
  </si>
  <si>
    <t>ROLOS DE PISO ESPORTIVO TARKETT (TC/ME - 776484/2012)</t>
  </si>
  <si>
    <t>MESAS DE ARBITRAGEM DE MADEIRA TIBHAR (TC/ME - 776484/2012)</t>
  </si>
  <si>
    <t>PLACARES TIBHAR SMASH (TC/ME - 776484/2012)</t>
  </si>
  <si>
    <t>REDES E SUPORTE TIBHAR SMASH (TC/ME - 776484/2012)</t>
  </si>
  <si>
    <t>MESAS DE TÊNIS DE MESA CORNILLEAU COMPET. (TC/ME - 776484/2012)</t>
  </si>
  <si>
    <t>MESAS DE TÊNIS DE MESA JOOLA ROLLOMAT WC (TC/ME - 776484/2012)</t>
  </si>
  <si>
    <t>MESAS DE TÊNIS DE MESA DONIC SLC WC (TC/ME - 776484/2012)</t>
  </si>
  <si>
    <t>MESAS DE TÊNIS DE MESA TIBHAR SMASH 28 (TC/ME - 776484/2012)</t>
  </si>
  <si>
    <t>3466212 (DELL)</t>
  </si>
  <si>
    <t>NOTEBOOK DELL (TC/ME - 776484/2012)</t>
  </si>
  <si>
    <t>850184 (AMERICANAS.COM)</t>
  </si>
  <si>
    <t>MULTIFUNCIONAL HP DESKJET 5525 (TC/ME - 776484/2012)</t>
  </si>
  <si>
    <t>16162372 (AMERICANAS.COM)</t>
  </si>
  <si>
    <t>CÂMERA DIGITAL SUPERZOOM PS10 VERMELHA (TC/ME - 776484/2012)</t>
  </si>
  <si>
    <t>INVOICE: SJ13006EE</t>
  </si>
  <si>
    <t>1/2015</t>
  </si>
  <si>
    <t>ROLOS DE PISOS ESPORTIVOS EMBORRACHADOS TINSUE</t>
  </si>
  <si>
    <t>6105770 (CASAS BAHIA)</t>
  </si>
  <si>
    <t>83 B</t>
  </si>
  <si>
    <t>TV 42" LG LED 42LB5800 FHD/DTV/USB/WIFI</t>
  </si>
  <si>
    <t>11.954.841/0001-54</t>
  </si>
  <si>
    <t>ASSOCIAÇÃO DESPORTIVA E CULTURAL ESTRELA</t>
  </si>
  <si>
    <t>58407966/0001-28</t>
  </si>
  <si>
    <t>ASSOCIAÇÃO DESPORTIVA E RECREATIVA ITAIM KEIKO</t>
  </si>
  <si>
    <t>ROLOS DE PISOS ESPORTIVOS TARKETT (ME 777876/2012)</t>
  </si>
  <si>
    <t>4</t>
  </si>
  <si>
    <t>83.747.352/0001-32</t>
  </si>
  <si>
    <t>FEDERAÇÃO CATARINENSE DE TÊNIS DE MESA</t>
  </si>
  <si>
    <t>PLACARES ELETRÔNICOS (PAN 2007)</t>
  </si>
  <si>
    <t>03.057.337/0001-26</t>
  </si>
  <si>
    <t>JUAZEIRO/RN (CT CRAJUBAR/LIESBA)</t>
  </si>
  <si>
    <t>PLACARES DE TÊNIS DE MESA MANUAIS TIBHAR</t>
  </si>
  <si>
    <t>3</t>
  </si>
  <si>
    <t>PLACARES DE TÊNIS DE MESA MANUAIS STAG</t>
  </si>
  <si>
    <t>5</t>
  </si>
  <si>
    <t>MESAS DE ÁRBITRO DHS</t>
  </si>
  <si>
    <t>8</t>
  </si>
  <si>
    <t>CADEIRAS DE ÁRBITRO DHS</t>
  </si>
  <si>
    <t>10</t>
  </si>
  <si>
    <t>PORTA TOALHAS DE PAPELÃO DHS</t>
  </si>
  <si>
    <t>50</t>
  </si>
  <si>
    <t>SEPARADORES PIRAMIDAIS PARA TÊNIS DE MESA DHS 1,40m</t>
  </si>
  <si>
    <t xml:space="preserve">REDES E SUPORTES DE TÊNIS DE MESA TIBHAR </t>
  </si>
  <si>
    <t>REDES E SUPORTES DE TÊNIS DE MESA STAG</t>
  </si>
  <si>
    <t>MESAS DE TÊNIS DE MESA STAG</t>
  </si>
  <si>
    <t>117323 (INVOICE TIBHAR)</t>
  </si>
  <si>
    <t>75.978.064/0001-60</t>
  </si>
  <si>
    <t>FEDERAÇÃO DE TÊNIS DE MESA DO PARANÁ</t>
  </si>
  <si>
    <t>MESAS DE TÊNIS DE MESA TIBHAR (MUNDIAL DE VETERANOS)</t>
  </si>
  <si>
    <t>DUZIAS BOLAS CELULOIDE TIBHAR ***</t>
  </si>
  <si>
    <t>ROLOS DE PISOS TINSUE TT013 (14,40m X 1,80m)</t>
  </si>
  <si>
    <t>SEPARADORES PARA TÊNIS DE MESA DE PLÁSTICO RIO 2016</t>
  </si>
  <si>
    <t>REDES E SUPORTES DE TÊNIS DE MESA SANEI TT014</t>
  </si>
  <si>
    <t>MESAS DE TÊNIS DE MESA SANEI PARA COMPETIÇÃO COM RODAS TT017</t>
  </si>
  <si>
    <t>213.029 (RN COM. VAREJISTA)</t>
  </si>
  <si>
    <t>15.087.580/0001-73</t>
  </si>
  <si>
    <t>FEDERAÇÃO DE TÊNIS DE MESA DO PIAUI</t>
  </si>
  <si>
    <t>521.937 (MAGAZINE LUIZA)</t>
  </si>
  <si>
    <t>233.052 (UNIÃO LJS LEADER)</t>
  </si>
  <si>
    <t>09.055.930/0001-17</t>
  </si>
  <si>
    <t>FEDERAÇÃO PERNAMBUCANA</t>
  </si>
  <si>
    <t>Notebook Lenovo Ideapad 330 BP: 2046</t>
  </si>
  <si>
    <t>INVOICE BR 2015-1 (SANEI)</t>
  </si>
  <si>
    <t>15</t>
  </si>
  <si>
    <t>10.732.865/0001-04</t>
  </si>
  <si>
    <t>FEDERAÇÃO PARAIBANA DE TÊNIS DE MESA</t>
  </si>
  <si>
    <t>REDES DE TÊNIS DE MESA SANEI</t>
  </si>
  <si>
    <t>14</t>
  </si>
  <si>
    <t>27.401.464/0001-66</t>
  </si>
  <si>
    <t>FEDERAÇÃO MINEIRA DE TÊNIS DE MESA OLÍMPICO E PARALÍMPICO</t>
  </si>
  <si>
    <t>SEPARADORES DE ÁREA DE JOGO SANEI PIRAMIDAIS (AQUECE RIO)</t>
  </si>
  <si>
    <t>MESAS DE TÊNIS DE MESA TIBHAR BP: 11035 E 11036</t>
  </si>
  <si>
    <t>MESAS DE TÊNIS DE MESA (TAMPOS) STAG BP: 11037 E 10055</t>
  </si>
  <si>
    <t>PORTA-TOALHAS TIBHAR MADEIRA</t>
  </si>
  <si>
    <t>PLACARES DHS F204</t>
  </si>
  <si>
    <t>MESAS DE MADEIRA PARA ÁRBITRO TIBHAR BP: 1109 A 1118</t>
  </si>
  <si>
    <t>SEPARADORES DE ÁREA DE JOGO TIBHAR 2,00M</t>
  </si>
  <si>
    <t>1</t>
  </si>
  <si>
    <t>ROLOS DE PISOS TINSUE TT013 (8,60m X 1,80m)</t>
  </si>
  <si>
    <t>PLACARES MANUAIS</t>
  </si>
  <si>
    <t>MESAS DE ÁRBITRO SANEI</t>
  </si>
  <si>
    <t>CADEIRAS DE ÁRBITRO SANEI</t>
  </si>
  <si>
    <t>PORTA TOALHAS DE PAPELÃO SANEI</t>
  </si>
  <si>
    <t>SEPARADORES DE ÁREA DE JOGO SANEI</t>
  </si>
  <si>
    <t>CONJUNTOS DE REDE E SUPORTE SANEI</t>
  </si>
  <si>
    <t>MESAS DE TÊNIS DE MESA SANEI ABSOLUT-W</t>
  </si>
  <si>
    <t>04.967.036/0001-08</t>
  </si>
  <si>
    <t>FEDERAÇÃO DE TÊNIS DE MESA DO DISTRITO FEDERAL-DF</t>
  </si>
  <si>
    <t>MESAS DE TÊNIS DE MESA SANEI PARAGON SENSOR</t>
  </si>
  <si>
    <t>MULTIFUNCIONAL HP DESKJET 5525</t>
  </si>
  <si>
    <t>APARELHO TELEVISOR DE 42 POLEGADAS LG LED</t>
  </si>
  <si>
    <t>SEPARADORES DE TÊNIS DE MESA TIBHAR 2,00m</t>
  </si>
  <si>
    <t>PORTA-TOALHAS DE PAPELÃO</t>
  </si>
  <si>
    <t>04.239.273/0001-44</t>
  </si>
  <si>
    <t>FEDERAÇÃO DE TÊNIS DE MESA DO AMAZONAS - FEDAM</t>
  </si>
  <si>
    <t xml:space="preserve">NOTEBOOK </t>
  </si>
  <si>
    <t>MULTIFUNCIONAL HP 3516 ALL IN ONE PRETO BIVOLT</t>
  </si>
  <si>
    <t>CÂMERA DIGITAL COOLPIX S2600 - BLACK</t>
  </si>
  <si>
    <t>58</t>
  </si>
  <si>
    <t>SEPARADORES TIBHAR 2 METROS</t>
  </si>
  <si>
    <t>32</t>
  </si>
  <si>
    <t>ROLOS DE PISOS DE TÊNIS DE MESA TINSUE</t>
  </si>
  <si>
    <t>7</t>
  </si>
  <si>
    <t>CONJUNTOS DE REDE E SUPORTE</t>
  </si>
  <si>
    <t>17</t>
  </si>
  <si>
    <t>PLACARES TIBHAR</t>
  </si>
  <si>
    <t>PORTA TOALHAS DE PAPELÃO TIBHAR</t>
  </si>
  <si>
    <t>MINI MESAS DE TÊNIS DE MESA</t>
  </si>
  <si>
    <t>MESAS DE ÁRBITRO TIBHAR</t>
  </si>
  <si>
    <t>QUADROS ELÉTRICOS 800 X 500 X 200</t>
  </si>
  <si>
    <t>EXAUSTORES AXIAL - 220</t>
  </si>
  <si>
    <t>70</t>
  </si>
  <si>
    <t>GIROTUBOS</t>
  </si>
  <si>
    <t>CLIMATIZADORES EVAPORATIVOS</t>
  </si>
  <si>
    <t>ROBÔS LANÇADORES DE BOLAS TIBHAR</t>
  </si>
  <si>
    <t>60</t>
  </si>
  <si>
    <t>SEPARADORES E APARADORES DE BOLAS TIBHAR</t>
  </si>
  <si>
    <t>13</t>
  </si>
  <si>
    <t>PISOS ESPECIAIS PARA TÊNIS DE MESA</t>
  </si>
  <si>
    <t>92</t>
  </si>
  <si>
    <t>CONJUNTOS DE SUPORTE E REDE TIBHAR (CONVÊNIO 208/05 COB)</t>
  </si>
  <si>
    <t>40</t>
  </si>
  <si>
    <t>6</t>
  </si>
  <si>
    <t>PLACAR MANUAL RIO 2016</t>
  </si>
  <si>
    <t>MESA DE ÁRBITRO RIO 2016</t>
  </si>
  <si>
    <t>CADEIRA DE ÁRBITRO RIO 2016</t>
  </si>
  <si>
    <t>PORTA-TOALHA RIO 2016</t>
  </si>
  <si>
    <t>SEPARADOR RIO 2016</t>
  </si>
  <si>
    <t>CONJUNTO DE REDE E SUPORTE SANEI</t>
  </si>
  <si>
    <t>MESA DE TÊNIS DE MESA SANEI TT017</t>
  </si>
  <si>
    <t>000.001.382 (HOBBY)</t>
  </si>
  <si>
    <t>53 B</t>
  </si>
  <si>
    <t>00.248.698/0001-69</t>
  </si>
  <si>
    <t>FEDERAÇÃO ALAGOANA DE TÊNIS DE MESA</t>
  </si>
  <si>
    <t>MESAS DE TÊNIS DE MESA HOBBY TEMPEST 30mm (TM 033/13)</t>
  </si>
  <si>
    <t>INVOICE SJ13006EE</t>
  </si>
  <si>
    <t>PISOS ESPORTIVOS TINSUE (2013)</t>
  </si>
  <si>
    <t>INVOICE 173164  (TIBHAR)</t>
  </si>
  <si>
    <t>MESAS DE TÊNIS DE MESA TIBHAR SMASH BLUE (TIBHAR 2014)</t>
  </si>
  <si>
    <t>BR 2015-1 (SANEI)</t>
  </si>
  <si>
    <t>13/2015</t>
  </si>
  <si>
    <t>CONJUNTOS DE REDE/SUPORTE SANEI LIMITLES</t>
  </si>
  <si>
    <t>NOTA FISCAL</t>
  </si>
  <si>
    <t>TERMO</t>
  </si>
  <si>
    <t>CNPJ</t>
  </si>
  <si>
    <t>ENTIDADE</t>
  </si>
  <si>
    <t>SITUAÇÃO</t>
  </si>
  <si>
    <t>ITEM</t>
  </si>
  <si>
    <t>CONSOLIDADO - CTs</t>
  </si>
  <si>
    <t>CTs 2013</t>
  </si>
  <si>
    <t>CTs 2014</t>
  </si>
  <si>
    <t>CTs 2015</t>
  </si>
  <si>
    <t>CTs 2016</t>
  </si>
  <si>
    <t>CTs 2017</t>
  </si>
  <si>
    <t>CTs 2018</t>
  </si>
  <si>
    <t>CTs 2019</t>
  </si>
  <si>
    <t>TRAs 2013</t>
  </si>
  <si>
    <t>TRAs 2014</t>
  </si>
  <si>
    <t>TRAs 2015</t>
  </si>
  <si>
    <t>TRAs 2016</t>
  </si>
  <si>
    <t>TRAs 2017</t>
  </si>
  <si>
    <t>TRAs 2018</t>
  </si>
  <si>
    <t>TRAs 2019</t>
  </si>
  <si>
    <t>CTs</t>
  </si>
  <si>
    <t>PAF</t>
  </si>
  <si>
    <t>SALDO (DÉFICIT)</t>
  </si>
  <si>
    <t>SOMATÓRIO</t>
  </si>
  <si>
    <t>Para os cálculos e conclusões, tomou-se por base os seguintes dados:</t>
  </si>
  <si>
    <t>1)</t>
  </si>
  <si>
    <t>2)</t>
  </si>
  <si>
    <t>Cálculo do valor da TRA gerada por cada Estado entre 2013 e 2019. Gerou a planilha "TRA Consolidado" e "Valor-TRA";</t>
  </si>
  <si>
    <t>3)</t>
  </si>
  <si>
    <t>4)</t>
  </si>
  <si>
    <t>Cálculo do valor recebido de PAF, referente à atribuição da contrapartida feita pela CBTM às Federações. Gerou a planilha "PAF-Consolidado";</t>
  </si>
  <si>
    <t>Cálculo do valor recebido de CTs, referente aos materiais entregues pela CBTM às Federações Estaduais para o desenvolvimento do antigo projeto "CTs Estaduais" - atualmente, "Polo de Desenvolvimento Regional". Gerou a planilha "CTs-Consolidado";</t>
  </si>
  <si>
    <t>Cálculo do Saldo (referente àquilo que a CBTM deve retribuir em favor das Federações Estaduais para fins de PAF) ou Déficit (referente àquilo que as Federações Estaduais receberam a mais no comparativo com a geração efetiva de TRAs ao longo do período);</t>
  </si>
  <si>
    <t>5)</t>
  </si>
  <si>
    <t>LEIA-ME</t>
  </si>
  <si>
    <t>6)</t>
  </si>
  <si>
    <t>SOMATÓRIO - COM INFLAÇÃO</t>
  </si>
  <si>
    <r>
      <rPr>
        <b/>
        <sz val="11"/>
        <color theme="4" tint="-0.249977111117893"/>
        <rFont val="Calibri"/>
        <family val="2"/>
      </rPr>
      <t xml:space="preserve">Σ </t>
    </r>
    <r>
      <rPr>
        <b/>
        <sz val="11"/>
        <color theme="4" tint="-0.249977111117893"/>
        <rFont val="Calibri"/>
        <family val="2"/>
        <scheme val="minor"/>
      </rPr>
      <t>CONTRAPARTIDAS CBTM</t>
    </r>
  </si>
  <si>
    <t>7)</t>
  </si>
  <si>
    <t>DOC 2013</t>
  </si>
  <si>
    <t>DOC 2014</t>
  </si>
  <si>
    <t>DOC 2015</t>
  </si>
  <si>
    <t>DOC 2016</t>
  </si>
  <si>
    <t>DOC 2017</t>
  </si>
  <si>
    <t>DOC 2018</t>
  </si>
  <si>
    <t>DOC 2019</t>
  </si>
  <si>
    <t>INATIVA</t>
  </si>
  <si>
    <t>ATIVA</t>
  </si>
  <si>
    <t>STATUS</t>
  </si>
  <si>
    <t>TRAs</t>
  </si>
  <si>
    <t>TABELA DINÂMICA - VALOR TOTAL DE TRAs POR FEDERAÇÃO ESTADUAL</t>
  </si>
  <si>
    <t>Valor Total</t>
  </si>
  <si>
    <t>Para fins de cálculo do SOMATÓRIO, considerou-se o fator multiplicador de 1,25 para as TRAs de 2016, conforme diretriz estabelecida à época e respectiva regulamentação até então vigente do PAF;</t>
  </si>
  <si>
    <t>Fez-se um cálculo considerando fatores inflacionários e de depreciação de bens;</t>
  </si>
  <si>
    <r>
      <t xml:space="preserve">A Planilha "SOMATÓRIO" indica quanto a CBTM deve (SALDO, em </t>
    </r>
    <r>
      <rPr>
        <sz val="11"/>
        <color rgb="FF00B050"/>
        <rFont val="Calibri"/>
        <family val="2"/>
        <scheme val="minor"/>
      </rPr>
      <t>verde</t>
    </r>
    <r>
      <rPr>
        <sz val="11"/>
        <color theme="1"/>
        <rFont val="Calibri"/>
        <family val="2"/>
        <scheme val="minor"/>
      </rPr>
      <t xml:space="preserve">) ou tem a compensar (DÉFICIT, em </t>
    </r>
    <r>
      <rPr>
        <sz val="11"/>
        <color rgb="FFFF0000"/>
        <rFont val="Calibri"/>
        <family val="2"/>
        <scheme val="minor"/>
      </rPr>
      <t>vermelho</t>
    </r>
    <r>
      <rPr>
        <sz val="11"/>
        <color theme="1"/>
        <rFont val="Calibri"/>
        <family val="2"/>
        <scheme val="minor"/>
      </rPr>
      <t>).</t>
    </r>
  </si>
  <si>
    <t>NÃO</t>
  </si>
  <si>
    <t>SIM</t>
  </si>
  <si>
    <t>PAF.$ 2013</t>
  </si>
  <si>
    <t>PAF.$ 2014</t>
  </si>
  <si>
    <t>PAF.$ 2015</t>
  </si>
  <si>
    <t>PAF.$ 2016</t>
  </si>
  <si>
    <t>PAF.$ 2017</t>
  </si>
  <si>
    <t>PAF.$ 2018</t>
  </si>
  <si>
    <t>PAF.$ 2019</t>
  </si>
  <si>
    <t>PAF.EM 2013</t>
  </si>
  <si>
    <t>PAF.EM 2014</t>
  </si>
  <si>
    <t>PAF.EM 2015</t>
  </si>
  <si>
    <t>PAF.EM 2016</t>
  </si>
  <si>
    <t>PAF.EM 2017</t>
  </si>
  <si>
    <t>PAF.EM 2018</t>
  </si>
  <si>
    <t>PAF.EM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</si>
</sst>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R$&quot;#,##0;[Red]\-&quot;R$&quot;#,##0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-* #,##0_-;\-* #,##0_-;_-* &quot;-&quot;??_-;_-@_-"/>
    <numFmt numFmtId="166" formatCode="&quot;R$&quot;\ #,##0.00;[Red]\-&quot;R$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b/>
      <u/>
      <sz val="12"/>
      <color theme="0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u val="singleAccounting"/>
      <sz val="12"/>
      <color theme="1"/>
      <name val="Arial"/>
      <family val="2"/>
    </font>
    <font>
      <b/>
      <sz val="9"/>
      <color indexed="81"/>
      <name val="Segoe UI"/>
      <family val="2"/>
    </font>
    <font>
      <sz val="12"/>
      <name val="Arial"/>
      <family val="2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</font>
    <font>
      <b/>
      <sz val="2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3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6" fontId="3" fillId="0" borderId="1" xfId="0" applyNumberFormat="1" applyFont="1" applyBorder="1" applyAlignment="1">
      <alignment horizontal="center"/>
    </xf>
    <xf numFmtId="43" fontId="0" fillId="0" borderId="1" xfId="2" applyFont="1" applyBorder="1"/>
    <xf numFmtId="165" fontId="0" fillId="0" borderId="1" xfId="2" applyNumberFormat="1" applyFont="1" applyBorder="1"/>
    <xf numFmtId="0" fontId="3" fillId="0" borderId="1" xfId="0" applyFont="1" applyBorder="1"/>
    <xf numFmtId="0" fontId="7" fillId="5" borderId="5" xfId="0" applyFont="1" applyFill="1" applyBorder="1" applyAlignment="1">
      <alignment horizontal="center" vertical="center" wrapText="1"/>
    </xf>
    <xf numFmtId="164" fontId="7" fillId="5" borderId="5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1" fillId="0" borderId="1" xfId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64" fontId="0" fillId="6" borderId="1" xfId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1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14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164" fontId="7" fillId="5" borderId="17" xfId="1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6" xfId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8" fillId="0" borderId="11" xfId="1" applyFont="1" applyBorder="1" applyAlignment="1">
      <alignment horizontal="center" vertical="center" wrapText="1"/>
    </xf>
    <xf numFmtId="0" fontId="0" fillId="0" borderId="12" xfId="0" quotePrefix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1" applyFont="1" applyBorder="1" applyAlignment="1">
      <alignment horizontal="center" vertical="center" wrapText="1"/>
    </xf>
    <xf numFmtId="0" fontId="0" fillId="0" borderId="15" xfId="0" quotePrefix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0" fontId="0" fillId="0" borderId="23" xfId="0" quotePrefix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0" fillId="0" borderId="17" xfId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8" fillId="0" borderId="7" xfId="1" applyFont="1" applyBorder="1" applyAlignment="1">
      <alignment horizontal="center" vertical="center" wrapText="1"/>
    </xf>
    <xf numFmtId="0" fontId="0" fillId="0" borderId="26" xfId="0" quotePrefix="1" applyBorder="1" applyAlignment="1">
      <alignment horizontal="center" vertical="center" wrapText="1"/>
    </xf>
    <xf numFmtId="0" fontId="0" fillId="0" borderId="18" xfId="0" quotePrefix="1" applyBorder="1" applyAlignment="1">
      <alignment horizontal="center" vertical="center" wrapText="1"/>
    </xf>
    <xf numFmtId="164" fontId="1" fillId="0" borderId="14" xfId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4" fontId="1" fillId="0" borderId="1" xfId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2" fontId="0" fillId="0" borderId="0" xfId="1" applyNumberFormat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5" borderId="19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164" fontId="7" fillId="5" borderId="6" xfId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164" fontId="11" fillId="0" borderId="17" xfId="1" applyFont="1" applyBorder="1" applyAlignment="1">
      <alignment horizontal="center" vertical="center"/>
    </xf>
    <xf numFmtId="14" fontId="11" fillId="0" borderId="18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64" fontId="11" fillId="0" borderId="11" xfId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164" fontId="11" fillId="0" borderId="5" xfId="1" applyFont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164" fontId="7" fillId="5" borderId="17" xfId="1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4" fontId="11" fillId="0" borderId="7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1" fillId="0" borderId="1" xfId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64" fontId="11" fillId="0" borderId="14" xfId="1" applyFont="1" applyBorder="1" applyAlignment="1">
      <alignment horizontal="center" vertical="center"/>
    </xf>
    <xf numFmtId="14" fontId="11" fillId="0" borderId="15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quotePrefix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64" fontId="11" fillId="0" borderId="11" xfId="1" applyFont="1" applyBorder="1" applyAlignment="1">
      <alignment horizontal="center" vertical="center" wrapText="1"/>
    </xf>
    <xf numFmtId="0" fontId="11" fillId="0" borderId="0" xfId="0" applyFont="1"/>
    <xf numFmtId="164" fontId="11" fillId="0" borderId="1" xfId="1" applyFont="1" applyBorder="1" applyAlignment="1">
      <alignment horizontal="center" vertical="center" wrapText="1"/>
    </xf>
    <xf numFmtId="164" fontId="11" fillId="0" borderId="14" xfId="1" applyFont="1" applyBorder="1" applyAlignment="1">
      <alignment horizontal="center" vertical="center" wrapText="1"/>
    </xf>
    <xf numFmtId="166" fontId="11" fillId="0" borderId="0" xfId="0" applyNumberFormat="1" applyFont="1" applyAlignment="1">
      <alignment vertical="center"/>
    </xf>
    <xf numFmtId="0" fontId="11" fillId="0" borderId="36" xfId="0" applyFont="1" applyBorder="1" applyAlignment="1">
      <alignment horizontal="center" vertical="center"/>
    </xf>
    <xf numFmtId="14" fontId="11" fillId="0" borderId="18" xfId="0" quotePrefix="1" applyNumberFormat="1" applyFont="1" applyBorder="1" applyAlignment="1">
      <alignment horizontal="center" vertical="center"/>
    </xf>
    <xf numFmtId="164" fontId="11" fillId="0" borderId="17" xfId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164" fontId="7" fillId="5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164" fontId="13" fillId="0" borderId="0" xfId="1" applyFont="1" applyAlignment="1">
      <alignment horizontal="center" vertical="center"/>
    </xf>
    <xf numFmtId="164" fontId="11" fillId="0" borderId="0" xfId="1" applyFont="1" applyAlignment="1">
      <alignment horizontal="center" vertical="center"/>
    </xf>
    <xf numFmtId="164" fontId="11" fillId="0" borderId="11" xfId="1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164" fontId="15" fillId="0" borderId="7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5" fillId="0" borderId="1" xfId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64" fontId="15" fillId="0" borderId="14" xfId="1" applyFont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/>
    </xf>
    <xf numFmtId="164" fontId="7" fillId="5" borderId="37" xfId="1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164" fontId="11" fillId="0" borderId="1" xfId="1" applyFont="1" applyBorder="1" applyAlignment="1">
      <alignment vertical="center"/>
    </xf>
    <xf numFmtId="14" fontId="11" fillId="0" borderId="1" xfId="0" quotePrefix="1" applyNumberFormat="1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64" fontId="7" fillId="5" borderId="4" xfId="1" applyFont="1" applyFill="1" applyBorder="1" applyAlignment="1">
      <alignment horizontal="center" vertical="center"/>
    </xf>
    <xf numFmtId="14" fontId="15" fillId="0" borderId="18" xfId="0" applyNumberFormat="1" applyFont="1" applyBorder="1" applyAlignment="1">
      <alignment horizontal="center" vertical="center"/>
    </xf>
    <xf numFmtId="14" fontId="15" fillId="0" borderId="12" xfId="0" applyNumberFormat="1" applyFont="1" applyBorder="1" applyAlignment="1">
      <alignment horizontal="center" vertical="center"/>
    </xf>
    <xf numFmtId="14" fontId="15" fillId="0" borderId="15" xfId="0" applyNumberFormat="1" applyFont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/>
    </xf>
    <xf numFmtId="164" fontId="7" fillId="5" borderId="39" xfId="1" applyFont="1" applyFill="1" applyBorder="1" applyAlignment="1">
      <alignment horizontal="center" vertical="center"/>
    </xf>
    <xf numFmtId="164" fontId="11" fillId="0" borderId="7" xfId="1" applyFont="1" applyBorder="1" applyAlignment="1">
      <alignment vertical="center"/>
    </xf>
    <xf numFmtId="164" fontId="11" fillId="0" borderId="14" xfId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164" fontId="11" fillId="0" borderId="5" xfId="1" applyFont="1" applyBorder="1" applyAlignment="1">
      <alignment vertical="center"/>
    </xf>
    <xf numFmtId="14" fontId="11" fillId="0" borderId="20" xfId="0" quotePrefix="1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4" fontId="11" fillId="0" borderId="40" xfId="1" applyFont="1" applyBorder="1" applyAlignment="1">
      <alignment vertical="center"/>
    </xf>
    <xf numFmtId="14" fontId="11" fillId="0" borderId="24" xfId="0" quotePrefix="1" applyNumberFormat="1" applyFont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164" fontId="7" fillId="5" borderId="40" xfId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64" fontId="15" fillId="0" borderId="11" xfId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1" fillId="0" borderId="0" xfId="2" applyFon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1" fillId="0" borderId="0" xfId="1" applyAlignment="1">
      <alignment horizontal="center" vertical="center"/>
    </xf>
    <xf numFmtId="43" fontId="0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3" fontId="0" fillId="0" borderId="0" xfId="2" applyFont="1" applyAlignment="1">
      <alignment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quotePrefix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horizontal="center" vertical="center"/>
    </xf>
    <xf numFmtId="43" fontId="3" fillId="0" borderId="0" xfId="2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43" fontId="17" fillId="0" borderId="0" xfId="2" applyFont="1" applyAlignment="1">
      <alignment vertical="center"/>
    </xf>
    <xf numFmtId="0" fontId="3" fillId="0" borderId="0" xfId="0" applyFont="1" applyAlignment="1">
      <alignment horizontal="center" vertical="center"/>
    </xf>
    <xf numFmtId="43" fontId="0" fillId="0" borderId="0" xfId="2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43" fontId="18" fillId="0" borderId="1" xfId="2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3" fontId="18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3" fontId="1" fillId="0" borderId="1" xfId="2" applyBorder="1" applyAlignment="1">
      <alignment horizontal="center" vertical="center" wrapText="1"/>
    </xf>
    <xf numFmtId="43" fontId="18" fillId="0" borderId="1" xfId="2" applyFont="1" applyBorder="1" applyAlignment="1">
      <alignment vertical="center"/>
    </xf>
    <xf numFmtId="43" fontId="1" fillId="0" borderId="1" xfId="2" applyBorder="1" applyAlignment="1">
      <alignment horizontal="center" vertical="center"/>
    </xf>
    <xf numFmtId="43" fontId="1" fillId="0" borderId="1" xfId="2" applyBorder="1" applyAlignment="1">
      <alignment vertical="center" wrapText="1"/>
    </xf>
    <xf numFmtId="14" fontId="1" fillId="0" borderId="1" xfId="0" applyNumberFormat="1" applyFont="1" applyBorder="1" applyAlignment="1">
      <alignment horizontal="left" vertical="center"/>
    </xf>
    <xf numFmtId="43" fontId="1" fillId="0" borderId="1" xfId="2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164" fontId="18" fillId="0" borderId="1" xfId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left" vertical="center"/>
    </xf>
    <xf numFmtId="14" fontId="18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/>
    </xf>
    <xf numFmtId="0" fontId="1" fillId="0" borderId="1" xfId="1" applyNumberForma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3" fontId="18" fillId="0" borderId="1" xfId="2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43" fontId="2" fillId="4" borderId="1" xfId="2" applyFont="1" applyFill="1" applyBorder="1" applyAlignment="1">
      <alignment horizontal="center" vertical="center"/>
    </xf>
    <xf numFmtId="0" fontId="2" fillId="4" borderId="1" xfId="3" applyFont="1" applyBorder="1" applyAlignment="1">
      <alignment horizontal="center" vertical="center" wrapText="1"/>
    </xf>
    <xf numFmtId="43" fontId="0" fillId="0" borderId="1" xfId="0" applyNumberFormat="1" applyBorder="1" applyAlignment="1">
      <alignment vertical="center"/>
    </xf>
    <xf numFmtId="43" fontId="0" fillId="0" borderId="1" xfId="2" applyFont="1" applyBorder="1" applyAlignment="1">
      <alignment vertical="center"/>
    </xf>
    <xf numFmtId="43" fontId="3" fillId="8" borderId="0" xfId="0" applyNumberFormat="1" applyFont="1" applyFill="1"/>
    <xf numFmtId="0" fontId="0" fillId="0" borderId="43" xfId="0" applyBorder="1" applyAlignment="1">
      <alignment horizontal="right"/>
    </xf>
    <xf numFmtId="0" fontId="0" fillId="0" borderId="43" xfId="0" applyBorder="1" applyAlignment="1">
      <alignment horizontal="left" wrapText="1"/>
    </xf>
    <xf numFmtId="0" fontId="20" fillId="0" borderId="42" xfId="0" applyFont="1" applyBorder="1" applyAlignment="1">
      <alignment vertical="center" wrapText="1"/>
    </xf>
    <xf numFmtId="0" fontId="20" fillId="0" borderId="42" xfId="0" applyFont="1" applyBorder="1" applyAlignment="1">
      <alignment horizontal="center" vertical="center" wrapText="1"/>
    </xf>
    <xf numFmtId="6" fontId="20" fillId="0" borderId="5" xfId="0" applyNumberFormat="1" applyFont="1" applyBorder="1" applyAlignment="1">
      <alignment horizontal="center" vertical="center" wrapText="1"/>
    </xf>
    <xf numFmtId="0" fontId="21" fillId="7" borderId="42" xfId="0" applyFont="1" applyFill="1" applyBorder="1" applyAlignment="1">
      <alignment vertical="center"/>
    </xf>
    <xf numFmtId="43" fontId="21" fillId="7" borderId="42" xfId="2" applyNumberFormat="1" applyFont="1" applyFill="1" applyBorder="1" applyAlignment="1">
      <alignment vertical="center"/>
    </xf>
    <xf numFmtId="43" fontId="21" fillId="7" borderId="5" xfId="2" applyNumberFormat="1" applyFont="1" applyFill="1" applyBorder="1"/>
    <xf numFmtId="0" fontId="21" fillId="0" borderId="42" xfId="0" applyFont="1" applyBorder="1" applyAlignment="1">
      <alignment vertical="center"/>
    </xf>
    <xf numFmtId="43" fontId="21" fillId="0" borderId="42" xfId="2" applyNumberFormat="1" applyFont="1" applyBorder="1" applyAlignment="1">
      <alignment vertical="center"/>
    </xf>
    <xf numFmtId="0" fontId="21" fillId="7" borderId="2" xfId="0" applyFont="1" applyFill="1" applyBorder="1" applyAlignment="1">
      <alignment vertical="center"/>
    </xf>
    <xf numFmtId="43" fontId="21" fillId="7" borderId="2" xfId="2" applyNumberFormat="1" applyFont="1" applyFill="1" applyBorder="1" applyAlignment="1">
      <alignment vertical="center"/>
    </xf>
    <xf numFmtId="43" fontId="0" fillId="0" borderId="1" xfId="2" applyFont="1" applyBorder="1" applyAlignment="1">
      <alignment horizontal="center" vertical="center"/>
    </xf>
    <xf numFmtId="0" fontId="21" fillId="7" borderId="42" xfId="0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0" applyNumberFormat="1" applyBorder="1"/>
    <xf numFmtId="0" fontId="0" fillId="0" borderId="1" xfId="0" pivotButton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3" fontId="3" fillId="7" borderId="1" xfId="0" applyNumberFormat="1" applyFont="1" applyFill="1" applyBorder="1"/>
    <xf numFmtId="43" fontId="0" fillId="5" borderId="1" xfId="0" applyNumberFormat="1" applyFill="1" applyBorder="1"/>
    <xf numFmtId="0" fontId="23" fillId="9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6" fillId="2" borderId="0" xfId="3" applyFont="1" applyFill="1" applyAlignment="1">
      <alignment horizontal="center"/>
    </xf>
    <xf numFmtId="0" fontId="16" fillId="4" borderId="0" xfId="3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14" fontId="11" fillId="0" borderId="23" xfId="0" applyNumberFormat="1" applyFont="1" applyBorder="1" applyAlignment="1">
      <alignment horizontal="center" vertical="center"/>
    </xf>
    <xf numFmtId="14" fontId="11" fillId="0" borderId="15" xfId="0" applyNumberFormat="1" applyFont="1" applyBorder="1" applyAlignment="1">
      <alignment horizontal="center" vertical="center"/>
    </xf>
    <xf numFmtId="14" fontId="11" fillId="0" borderId="12" xfId="0" quotePrefix="1" applyNumberFormat="1" applyFont="1" applyBorder="1" applyAlignment="1">
      <alignment horizontal="center" vertical="center"/>
    </xf>
    <xf numFmtId="14" fontId="11" fillId="0" borderId="23" xfId="0" quotePrefix="1" applyNumberFormat="1" applyFont="1" applyBorder="1" applyAlignment="1">
      <alignment horizontal="center" vertical="center"/>
    </xf>
    <xf numFmtId="14" fontId="11" fillId="0" borderId="15" xfId="0" quotePrefix="1" applyNumberFormat="1" applyFont="1" applyBorder="1" applyAlignment="1">
      <alignment horizontal="center" vertical="center"/>
    </xf>
    <xf numFmtId="14" fontId="11" fillId="0" borderId="20" xfId="0" applyNumberFormat="1" applyFont="1" applyBorder="1" applyAlignment="1">
      <alignment horizontal="center" vertical="center"/>
    </xf>
    <xf numFmtId="14" fontId="11" fillId="0" borderId="24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14" fontId="15" fillId="0" borderId="26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4" fontId="15" fillId="0" borderId="5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14" fontId="11" fillId="0" borderId="8" xfId="0" quotePrefix="1" applyNumberFormat="1" applyFont="1" applyBorder="1" applyAlignment="1">
      <alignment horizontal="center" vertical="center"/>
    </xf>
    <xf numFmtId="14" fontId="11" fillId="0" borderId="24" xfId="0" quotePrefix="1" applyNumberFormat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4" fontId="11" fillId="0" borderId="26" xfId="0" quotePrefix="1" applyNumberFormat="1" applyFont="1" applyBorder="1" applyAlignment="1">
      <alignment horizontal="center" vertical="center"/>
    </xf>
    <xf numFmtId="43" fontId="0" fillId="0" borderId="1" xfId="2" applyFont="1" applyFill="1" applyBorder="1"/>
    <xf numFmtId="43" fontId="0" fillId="0" borderId="1" xfId="2" applyFont="1" applyFill="1" applyBorder="1" applyAlignment="1">
      <alignment vertical="center"/>
    </xf>
    <xf numFmtId="43" fontId="1" fillId="0" borderId="1" xfId="2" applyFont="1" applyFill="1" applyBorder="1"/>
  </cellXfs>
  <cellStyles count="4">
    <cellStyle name="Ênfase1" xfId="3" builtinId="29"/>
    <cellStyle name="Moeda" xfId="1" builtinId="4"/>
    <cellStyle name="Normal" xfId="0" builtinId="0"/>
    <cellStyle name="Vírgula" xfId="2" builtinId="3"/>
  </cellStyles>
  <dxfs count="14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theme="1"/>
        </patternFill>
      </fill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eraldo Campestrini" id="{EAC06DF1-77AF-4C22-BA9F-BF491C53E253}" userId="a5cd169aa973ec7a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raldo Campestrini" refreshedDate="43657.634998611109" createdVersion="6" refreshedVersion="6" minRefreshableVersion="3" recordCount="27" xr:uid="{0DE8E90D-D212-42BA-8336-5EEA9B3434C7}">
  <cacheSource type="worksheet">
    <worksheetSource ref="B3:P30" sheet="TRA-Consolidado"/>
  </cacheSource>
  <cacheFields count="15">
    <cacheField name="Federação" numFmtId="0">
      <sharedItems count="27">
        <s v="AC"/>
        <s v="AL"/>
        <s v="AM"/>
        <s v="AP"/>
        <s v="BA"/>
        <s v="CE"/>
        <s v="DF"/>
        <s v="ES"/>
        <s v="GO"/>
        <s v="MA"/>
        <s v="MG"/>
        <s v="MS"/>
        <s v="MT"/>
        <s v="PA"/>
        <s v="PB"/>
        <s v="PE"/>
        <s v="PI"/>
        <s v="PR"/>
        <s v="RJ"/>
        <s v="RN"/>
        <s v="RO"/>
        <s v="RR"/>
        <s v="RS"/>
        <s v="SC"/>
        <s v="SE"/>
        <s v="SP"/>
        <s v="TO"/>
      </sharedItems>
    </cacheField>
    <cacheField name="Quanti 2013" numFmtId="165">
      <sharedItems containsSemiMixedTypes="0" containsString="0" containsNumber="1" containsInteger="1" minValue="0" maxValue="715"/>
    </cacheField>
    <cacheField name="Valor 2013" numFmtId="43">
      <sharedItems containsSemiMixedTypes="0" containsString="0" containsNumber="1" containsInteger="1" minValue="0" maxValue="49725"/>
    </cacheField>
    <cacheField name="Quanti 2014" numFmtId="165">
      <sharedItems containsSemiMixedTypes="0" containsString="0" containsNumber="1" containsInteger="1" minValue="0" maxValue="960"/>
    </cacheField>
    <cacheField name="Valor 2014" numFmtId="43">
      <sharedItems containsSemiMixedTypes="0" containsString="0" containsNumber="1" containsInteger="1" minValue="0" maxValue="86420"/>
    </cacheField>
    <cacheField name="Quanti 2015" numFmtId="165">
      <sharedItems containsSemiMixedTypes="0" containsString="0" containsNumber="1" containsInteger="1" minValue="0" maxValue="924"/>
    </cacheField>
    <cacheField name="Valor 2015" numFmtId="43">
      <sharedItems containsSemiMixedTypes="0" containsString="0" containsNumber="1" minValue="0" maxValue="72476.05"/>
    </cacheField>
    <cacheField name="Quanti 2016" numFmtId="165">
      <sharedItems containsSemiMixedTypes="0" containsString="0" containsNumber="1" containsInteger="1" minValue="0" maxValue="768"/>
    </cacheField>
    <cacheField name="Valor 2016" numFmtId="43">
      <sharedItems containsSemiMixedTypes="0" containsString="0" containsNumber="1" containsInteger="1" minValue="0" maxValue="59215"/>
    </cacheField>
    <cacheField name="Quanti 2017" numFmtId="165">
      <sharedItems containsSemiMixedTypes="0" containsString="0" containsNumber="1" containsInteger="1" minValue="0" maxValue="625"/>
    </cacheField>
    <cacheField name="Valor 2017" numFmtId="43">
      <sharedItems containsSemiMixedTypes="0" containsString="0" containsNumber="1" minValue="0" maxValue="58312.1"/>
    </cacheField>
    <cacheField name="Quanti 2018" numFmtId="165">
      <sharedItems containsSemiMixedTypes="0" containsString="0" containsNumber="1" containsInteger="1" minValue="0" maxValue="661"/>
    </cacheField>
    <cacheField name="Valor 2018" numFmtId="43">
      <sharedItems containsSemiMixedTypes="0" containsString="0" containsNumber="1" minValue="0" maxValue="63360"/>
    </cacheField>
    <cacheField name="Quanti 2019" numFmtId="165">
      <sharedItems containsSemiMixedTypes="0" containsString="0" containsNumber="1" containsInteger="1" minValue="0" maxValue="631"/>
    </cacheField>
    <cacheField name="Valor 2019" numFmtId="43">
      <sharedItems containsSemiMixedTypes="0" containsString="0" containsNumber="1" minValue="0" maxValue="647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n v="0"/>
    <n v="0"/>
    <n v="1"/>
    <n v="65"/>
    <n v="2"/>
    <n v="150"/>
    <n v="1"/>
    <n v="75"/>
    <n v="0"/>
    <n v="0"/>
    <n v="0"/>
    <n v="0"/>
    <n v="0"/>
    <n v="0"/>
  </r>
  <r>
    <x v="1"/>
    <n v="21"/>
    <n v="1060"/>
    <n v="18"/>
    <n v="1120"/>
    <n v="15"/>
    <n v="110"/>
    <n v="19"/>
    <n v="1300"/>
    <n v="18"/>
    <n v="1450"/>
    <n v="17"/>
    <n v="1672"/>
    <n v="10"/>
    <n v="984"/>
  </r>
  <r>
    <x v="2"/>
    <n v="81"/>
    <n v="4335"/>
    <n v="79"/>
    <n v="4365"/>
    <n v="97"/>
    <n v="6325"/>
    <n v="67"/>
    <n v="4805"/>
    <n v="63"/>
    <n v="5305"/>
    <n v="68"/>
    <n v="6352.5"/>
    <n v="85"/>
    <n v="8079"/>
  </r>
  <r>
    <x v="3"/>
    <n v="49"/>
    <n v="2575"/>
    <n v="46"/>
    <n v="2755"/>
    <n v="57"/>
    <n v="3975"/>
    <n v="38"/>
    <n v="3140"/>
    <n v="43"/>
    <n v="3830"/>
    <n v="32"/>
    <n v="2799.5"/>
    <n v="28"/>
    <n v="3175"/>
  </r>
  <r>
    <x v="4"/>
    <n v="37"/>
    <n v="1960"/>
    <n v="40"/>
    <n v="2560"/>
    <n v="46"/>
    <n v="2605"/>
    <n v="22"/>
    <n v="1650"/>
    <n v="1"/>
    <n v="75"/>
    <n v="0"/>
    <n v="0"/>
    <n v="0"/>
    <n v="0"/>
  </r>
  <r>
    <x v="5"/>
    <n v="64"/>
    <n v="3160"/>
    <n v="71"/>
    <n v="4130"/>
    <n v="71"/>
    <n v="4798.5"/>
    <n v="74"/>
    <n v="5305"/>
    <n v="69"/>
    <n v="6060"/>
    <n v="77"/>
    <n v="7694.5"/>
    <n v="84"/>
    <n v="8306"/>
  </r>
  <r>
    <x v="6"/>
    <n v="73"/>
    <n v="3510"/>
    <n v="71"/>
    <n v="4130"/>
    <n v="85"/>
    <n v="5676.5"/>
    <n v="89"/>
    <n v="6405"/>
    <n v="91"/>
    <n v="8075"/>
    <n v="112"/>
    <n v="10725"/>
    <n v="150"/>
    <n v="15042.1"/>
  </r>
  <r>
    <x v="7"/>
    <n v="60"/>
    <n v="2825"/>
    <n v="60"/>
    <n v="3190"/>
    <n v="2"/>
    <n v="93.5"/>
    <n v="2"/>
    <n v="150"/>
    <n v="59"/>
    <n v="4940"/>
    <n v="63"/>
    <n v="5758.5"/>
    <n v="54"/>
    <n v="5436"/>
  </r>
  <r>
    <x v="8"/>
    <n v="56"/>
    <n v="2749"/>
    <n v="40"/>
    <n v="2225"/>
    <n v="31"/>
    <n v="1917"/>
    <n v="29"/>
    <n v="2115"/>
    <n v="44"/>
    <n v="4030"/>
    <n v="36"/>
    <n v="3201"/>
    <n v="91"/>
    <n v="8966.1"/>
  </r>
  <r>
    <x v="9"/>
    <n v="1"/>
    <n v="55"/>
    <n v="2"/>
    <n v="130"/>
    <n v="15"/>
    <n v="950"/>
    <n v="20"/>
    <n v="1500"/>
    <n v="18"/>
    <n v="1750"/>
    <n v="32"/>
    <n v="3063.5"/>
    <n v="51"/>
    <n v="5242"/>
  </r>
  <r>
    <x v="10"/>
    <n v="55"/>
    <n v="2705"/>
    <n v="65"/>
    <n v="3785"/>
    <n v="28"/>
    <n v="1630.5"/>
    <n v="40"/>
    <n v="3030"/>
    <n v="22"/>
    <n v="1895"/>
    <n v="34"/>
    <n v="2871"/>
    <n v="50"/>
    <n v="5090.2"/>
  </r>
  <r>
    <x v="11"/>
    <n v="61"/>
    <n v="2695"/>
    <n v="79"/>
    <n v="4615"/>
    <n v="93"/>
    <n v="3927.5"/>
    <n v="36"/>
    <n v="2990"/>
    <n v="35"/>
    <n v="3375"/>
    <n v="47"/>
    <n v="4125"/>
    <n v="37"/>
    <n v="3738"/>
  </r>
  <r>
    <x v="12"/>
    <n v="3"/>
    <n v="135"/>
    <n v="10"/>
    <n v="540"/>
    <n v="15"/>
    <n v="742.5"/>
    <n v="15"/>
    <n v="1125"/>
    <n v="21"/>
    <n v="2075"/>
    <n v="23"/>
    <n v="2068"/>
    <n v="20"/>
    <n v="2250"/>
  </r>
  <r>
    <x v="13"/>
    <n v="59"/>
    <n v="2985"/>
    <n v="52"/>
    <n v="3110"/>
    <n v="68"/>
    <n v="4550"/>
    <n v="61"/>
    <n v="4540"/>
    <n v="70"/>
    <n v="6480"/>
    <n v="84"/>
    <n v="7898"/>
    <n v="61"/>
    <n v="6060"/>
  </r>
  <r>
    <x v="14"/>
    <n v="13"/>
    <n v="555"/>
    <n v="21"/>
    <n v="1135"/>
    <n v="17"/>
    <n v="890"/>
    <n v="4"/>
    <n v="300"/>
    <n v="1"/>
    <n v="100"/>
    <n v="0"/>
    <n v="0"/>
    <n v="0"/>
    <n v="0"/>
  </r>
  <r>
    <x v="15"/>
    <n v="126"/>
    <n v="6775"/>
    <n v="101"/>
    <n v="5575"/>
    <n v="125"/>
    <n v="7435"/>
    <n v="139"/>
    <n v="9725"/>
    <n v="141"/>
    <n v="11775"/>
    <n v="151"/>
    <n v="13607"/>
    <n v="152"/>
    <n v="14440"/>
  </r>
  <r>
    <x v="16"/>
    <n v="0"/>
    <n v="0"/>
    <n v="18"/>
    <n v="1125"/>
    <n v="49"/>
    <n v="2930"/>
    <n v="51"/>
    <n v="3675"/>
    <n v="44"/>
    <n v="3610"/>
    <n v="40"/>
    <n v="3415.5"/>
    <n v="40"/>
    <n v="3746.1"/>
  </r>
  <r>
    <x v="17"/>
    <n v="344"/>
    <n v="16995"/>
    <n v="389"/>
    <n v="23335"/>
    <n v="378"/>
    <n v="21036"/>
    <n v="247"/>
    <n v="16745"/>
    <n v="337"/>
    <n v="32370"/>
    <n v="366"/>
    <n v="35535.5"/>
    <n v="340"/>
    <n v="35941.1"/>
  </r>
  <r>
    <x v="18"/>
    <n v="122"/>
    <n v="8220"/>
    <n v="128"/>
    <n v="10885"/>
    <n v="258"/>
    <n v="13297.5"/>
    <n v="399"/>
    <n v="9520"/>
    <n v="112"/>
    <n v="10175"/>
    <n v="104"/>
    <n v="10155.1"/>
    <n v="135"/>
    <n v="13658"/>
  </r>
  <r>
    <x v="19"/>
    <n v="13"/>
    <n v="640"/>
    <n v="8"/>
    <n v="515"/>
    <n v="5"/>
    <n v="375"/>
    <n v="3"/>
    <n v="225"/>
    <n v="43"/>
    <n v="3895"/>
    <n v="85"/>
    <n v="8030"/>
    <n v="61"/>
    <n v="6728.1"/>
  </r>
  <r>
    <x v="20"/>
    <n v="0"/>
    <n v="0"/>
    <n v="5"/>
    <n v="310"/>
    <n v="8"/>
    <n v="510"/>
    <n v="1"/>
    <n v="75"/>
    <n v="2"/>
    <n v="175"/>
    <n v="18"/>
    <n v="1485"/>
    <n v="0"/>
    <n v="0"/>
  </r>
  <r>
    <x v="21"/>
    <n v="0"/>
    <n v="0"/>
    <n v="0"/>
    <n v="0"/>
    <n v="0"/>
    <n v="0"/>
    <n v="0"/>
    <n v="0"/>
    <n v="0"/>
    <n v="0"/>
    <n v="0"/>
    <n v="0"/>
    <n v="0"/>
    <n v="0"/>
  </r>
  <r>
    <x v="22"/>
    <n v="49"/>
    <n v="2450"/>
    <n v="50"/>
    <n v="2895"/>
    <n v="50"/>
    <n v="3057"/>
    <n v="68"/>
    <n v="4660"/>
    <n v="85"/>
    <n v="6870"/>
    <n v="93"/>
    <n v="8305"/>
    <n v="96"/>
    <n v="9734.1"/>
  </r>
  <r>
    <x v="23"/>
    <n v="264"/>
    <n v="14020"/>
    <n v="320"/>
    <n v="19950"/>
    <n v="345"/>
    <n v="23781"/>
    <n v="352"/>
    <n v="25195"/>
    <n v="336"/>
    <n v="31265"/>
    <n v="356"/>
    <n v="35222"/>
    <n v="357"/>
    <n v="35222"/>
  </r>
  <r>
    <x v="24"/>
    <n v="50"/>
    <n v="2700"/>
    <n v="48"/>
    <n v="2925"/>
    <n v="87"/>
    <n v="3515"/>
    <n v="69"/>
    <n v="2435"/>
    <n v="36"/>
    <n v="3475"/>
    <n v="35"/>
    <n v="2953.5"/>
    <n v="16"/>
    <n v="1704"/>
  </r>
  <r>
    <x v="25"/>
    <n v="715"/>
    <n v="49725"/>
    <n v="960"/>
    <n v="86420"/>
    <n v="924"/>
    <n v="72476.05"/>
    <n v="768"/>
    <n v="59215"/>
    <n v="625"/>
    <n v="58312.1"/>
    <n v="661"/>
    <n v="63360"/>
    <n v="631"/>
    <n v="64744"/>
  </r>
  <r>
    <x v="26"/>
    <n v="0"/>
    <n v="0"/>
    <n v="0"/>
    <n v="0"/>
    <n v="1"/>
    <n v="75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7580C8-C6E3-43E1-81D7-D2DD5E3B8A82}" name="Tabela dinâ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G31" firstHeaderRow="0" firstDataRow="1" firstDataCol="1"/>
  <pivotFields count="15">
    <pivotField axis="axisRow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umFmtId="165" showAll="0"/>
    <pivotField numFmtId="43" showAll="0"/>
    <pivotField numFmtId="165" showAll="0"/>
    <pivotField dataField="1" numFmtId="43" showAll="0"/>
    <pivotField numFmtId="165" showAll="0"/>
    <pivotField dataField="1" numFmtId="43" showAll="0"/>
    <pivotField numFmtId="165" showAll="0"/>
    <pivotField dataField="1" numFmtId="43" showAll="0"/>
    <pivotField numFmtId="165" showAll="0"/>
    <pivotField dataField="1" numFmtId="43" showAll="0"/>
    <pivotField numFmtId="165" showAll="0"/>
    <pivotField dataField="1" numFmtId="43" showAll="0"/>
    <pivotField numFmtId="165" showAll="0"/>
    <pivotField dataField="1" numFmtId="43"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a de Valor 2014" fld="4" baseField="0" baseItem="0"/>
    <dataField name="Soma de Valor 2015" fld="6" baseField="0" baseItem="0"/>
    <dataField name="Soma de Valor 2016" fld="8" baseField="0" baseItem="0"/>
    <dataField name="Soma de Valor 2017" fld="10" baseField="0" baseItem="0"/>
    <dataField name="Soma de Valor 2018" fld="12" baseField="0" baseItem="0"/>
    <dataField name="Soma de Valor 2019" fld="14" baseField="0" baseItem="0"/>
  </dataFields>
  <formats count="9">
    <format dxfId="13">
      <pivotArea outline="0" collapsedLevelsAreSubtotals="1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0" type="button" dataOnly="0" labelOnly="1" outline="0" axis="axisRow" fieldPosition="0"/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">
      <pivotArea field="0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19-07-17T20:31:16.91" personId="{EAC06DF1-77AF-4C22-BA9F-BF491C53E253}" id="{1B8D441C-4EF9-4CC1-99AD-8AC77E7D4244}">
    <text>Permuta de dinheiro (inscrição, anuidade etc.)</text>
  </threadedComment>
  <threadedComment ref="J3" dT="2019-07-17T20:31:32.10" personId="{EAC06DF1-77AF-4C22-BA9F-BF491C53E253}" id="{CBB549A9-C9DE-49A4-B48D-31FFD9FB25B5}">
    <text>Permuta de Equipamentos ou Materiais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C58DE-A75A-4DB6-83EC-35A9E84F83C3}">
  <sheetPr>
    <tabColor rgb="FFC00000"/>
  </sheetPr>
  <dimension ref="A1:D10"/>
  <sheetViews>
    <sheetView showGridLines="0" workbookViewId="0">
      <selection activeCell="C10" sqref="C10"/>
    </sheetView>
  </sheetViews>
  <sheetFormatPr defaultColWidth="0" defaultRowHeight="14.4" x14ac:dyDescent="0.3"/>
  <cols>
    <col min="1" max="1" width="2.6640625" customWidth="1"/>
    <col min="2" max="2" width="8.88671875" customWidth="1"/>
    <col min="3" max="3" width="133.33203125" customWidth="1"/>
    <col min="4" max="4" width="2.6640625" customWidth="1"/>
    <col min="5" max="16384" width="8.88671875" hidden="1"/>
  </cols>
  <sheetData>
    <row r="1" spans="1:4" ht="25.8" x14ac:dyDescent="0.5">
      <c r="A1" s="242" t="s">
        <v>476</v>
      </c>
      <c r="B1" s="242"/>
      <c r="C1" s="242"/>
      <c r="D1" s="242"/>
    </row>
    <row r="3" spans="1:4" x14ac:dyDescent="0.3">
      <c r="B3" s="243" t="s">
        <v>466</v>
      </c>
      <c r="C3" s="243"/>
    </row>
    <row r="4" spans="1:4" ht="30" customHeight="1" x14ac:dyDescent="0.3">
      <c r="B4" s="218" t="s">
        <v>467</v>
      </c>
      <c r="C4" s="219" t="s">
        <v>469</v>
      </c>
    </row>
    <row r="5" spans="1:4" ht="30" customHeight="1" x14ac:dyDescent="0.3">
      <c r="B5" s="218" t="s">
        <v>468</v>
      </c>
      <c r="C5" s="219" t="s">
        <v>472</v>
      </c>
    </row>
    <row r="6" spans="1:4" ht="30" customHeight="1" x14ac:dyDescent="0.3">
      <c r="B6" s="218" t="s">
        <v>470</v>
      </c>
      <c r="C6" s="219" t="s">
        <v>473</v>
      </c>
    </row>
    <row r="7" spans="1:4" ht="30" customHeight="1" x14ac:dyDescent="0.3">
      <c r="B7" s="218" t="s">
        <v>471</v>
      </c>
      <c r="C7" s="219" t="s">
        <v>474</v>
      </c>
    </row>
    <row r="8" spans="1:4" ht="30" customHeight="1" x14ac:dyDescent="0.3">
      <c r="B8" s="218" t="s">
        <v>475</v>
      </c>
      <c r="C8" s="219" t="s">
        <v>494</v>
      </c>
    </row>
    <row r="9" spans="1:4" ht="30" customHeight="1" x14ac:dyDescent="0.3">
      <c r="B9" s="218" t="s">
        <v>477</v>
      </c>
      <c r="C9" s="219" t="s">
        <v>495</v>
      </c>
    </row>
    <row r="10" spans="1:4" ht="30" customHeight="1" x14ac:dyDescent="0.3">
      <c r="B10" s="218" t="s">
        <v>480</v>
      </c>
      <c r="C10" s="219" t="s">
        <v>496</v>
      </c>
    </row>
  </sheetData>
  <mergeCells count="2">
    <mergeCell ref="A1:D1"/>
    <mergeCell ref="B3:C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FBF4A-5D6B-479A-B70E-D97570D53CC4}">
  <sheetPr>
    <tabColor theme="3"/>
  </sheetPr>
  <dimension ref="A2:F58"/>
  <sheetViews>
    <sheetView workbookViewId="0">
      <selection activeCell="A4" sqref="A4:A57"/>
    </sheetView>
  </sheetViews>
  <sheetFormatPr defaultRowHeight="14.4" x14ac:dyDescent="0.3"/>
  <cols>
    <col min="1" max="1" width="3.6640625" style="5" bestFit="1" customWidth="1"/>
    <col min="2" max="2" width="12.6640625" style="1" bestFit="1" customWidth="1"/>
    <col min="3" max="4" width="11.6640625" style="1" bestFit="1" customWidth="1"/>
    <col min="5" max="5" width="17.6640625" style="1" bestFit="1" customWidth="1"/>
    <col min="6" max="6" width="10.6640625" bestFit="1" customWidth="1"/>
  </cols>
  <sheetData>
    <row r="2" spans="1:6" x14ac:dyDescent="0.3">
      <c r="A2" s="247">
        <v>2017</v>
      </c>
      <c r="B2" s="247"/>
      <c r="C2" s="247"/>
      <c r="D2" s="247"/>
      <c r="E2" s="247"/>
      <c r="F2" s="247"/>
    </row>
    <row r="3" spans="1:6" x14ac:dyDescent="0.3">
      <c r="A3" s="7" t="s">
        <v>5</v>
      </c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</row>
    <row r="4" spans="1:6" x14ac:dyDescent="0.3">
      <c r="A4" s="246" t="s">
        <v>0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46"/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3">
      <c r="A6" s="246" t="s">
        <v>4</v>
      </c>
      <c r="B6" s="2">
        <v>18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246"/>
      <c r="B7" s="3">
        <v>1450</v>
      </c>
      <c r="C7" s="3">
        <v>0</v>
      </c>
      <c r="D7" s="3">
        <v>0</v>
      </c>
      <c r="E7" s="3">
        <v>0</v>
      </c>
      <c r="F7" s="3">
        <v>0</v>
      </c>
    </row>
    <row r="8" spans="1:6" x14ac:dyDescent="0.3">
      <c r="A8" s="246" t="s">
        <v>6</v>
      </c>
      <c r="B8" s="2">
        <v>58</v>
      </c>
      <c r="C8" s="2">
        <v>5</v>
      </c>
      <c r="D8" s="2">
        <v>0</v>
      </c>
      <c r="E8" s="2">
        <v>0</v>
      </c>
      <c r="F8" s="2">
        <v>0</v>
      </c>
    </row>
    <row r="9" spans="1:6" x14ac:dyDescent="0.3">
      <c r="A9" s="246"/>
      <c r="B9" s="3">
        <v>4855</v>
      </c>
      <c r="C9" s="3">
        <v>450</v>
      </c>
      <c r="D9" s="3">
        <v>0</v>
      </c>
      <c r="E9" s="3">
        <v>0</v>
      </c>
      <c r="F9" s="3">
        <v>0</v>
      </c>
    </row>
    <row r="10" spans="1:6" x14ac:dyDescent="0.3">
      <c r="A10" s="246" t="s">
        <v>7</v>
      </c>
      <c r="B10" s="2">
        <v>37</v>
      </c>
      <c r="C10" s="2">
        <v>3</v>
      </c>
      <c r="D10" s="2">
        <v>3</v>
      </c>
      <c r="E10" s="2">
        <v>0</v>
      </c>
      <c r="F10" s="2">
        <v>0</v>
      </c>
    </row>
    <row r="11" spans="1:6" x14ac:dyDescent="0.3">
      <c r="A11" s="246"/>
      <c r="B11" s="3">
        <v>3280</v>
      </c>
      <c r="C11" s="3">
        <v>250</v>
      </c>
      <c r="D11" s="3">
        <v>300</v>
      </c>
      <c r="E11" s="3">
        <v>0</v>
      </c>
      <c r="F11" s="3">
        <v>0</v>
      </c>
    </row>
    <row r="12" spans="1:6" x14ac:dyDescent="0.3">
      <c r="A12" s="246" t="s">
        <v>8</v>
      </c>
      <c r="B12" s="2">
        <v>1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246"/>
      <c r="B13" s="3">
        <v>75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3">
      <c r="A14" s="246" t="s">
        <v>9</v>
      </c>
      <c r="B14" s="2">
        <v>68</v>
      </c>
      <c r="C14" s="2">
        <v>0</v>
      </c>
      <c r="D14" s="2">
        <v>1</v>
      </c>
      <c r="E14" s="2">
        <v>0</v>
      </c>
      <c r="F14" s="2">
        <v>0</v>
      </c>
    </row>
    <row r="15" spans="1:6" x14ac:dyDescent="0.3">
      <c r="A15" s="246"/>
      <c r="B15" s="3">
        <v>5960</v>
      </c>
      <c r="C15" s="3">
        <v>0</v>
      </c>
      <c r="D15" s="3">
        <v>100</v>
      </c>
      <c r="E15" s="3">
        <v>0</v>
      </c>
      <c r="F15" s="3">
        <v>0</v>
      </c>
    </row>
    <row r="16" spans="1:6" x14ac:dyDescent="0.3">
      <c r="A16" s="246" t="s">
        <v>10</v>
      </c>
      <c r="B16" s="2">
        <v>83</v>
      </c>
      <c r="C16" s="2">
        <v>7</v>
      </c>
      <c r="D16" s="2">
        <v>0</v>
      </c>
      <c r="E16" s="2">
        <v>0</v>
      </c>
      <c r="F16" s="2">
        <v>1</v>
      </c>
    </row>
    <row r="17" spans="1:6" x14ac:dyDescent="0.3">
      <c r="A17" s="246"/>
      <c r="B17" s="3">
        <v>7475</v>
      </c>
      <c r="C17" s="3">
        <v>525</v>
      </c>
      <c r="D17" s="3">
        <v>0</v>
      </c>
      <c r="E17" s="3">
        <v>0</v>
      </c>
      <c r="F17" s="3">
        <v>75</v>
      </c>
    </row>
    <row r="18" spans="1:6" x14ac:dyDescent="0.3">
      <c r="A18" s="246" t="s">
        <v>11</v>
      </c>
      <c r="B18" s="2">
        <v>56</v>
      </c>
      <c r="C18" s="2">
        <v>1</v>
      </c>
      <c r="D18" s="2">
        <v>2</v>
      </c>
      <c r="E18" s="2">
        <v>0</v>
      </c>
      <c r="F18" s="2">
        <v>0</v>
      </c>
    </row>
    <row r="19" spans="1:6" x14ac:dyDescent="0.3">
      <c r="A19" s="246"/>
      <c r="B19" s="3">
        <v>4690</v>
      </c>
      <c r="C19" s="3">
        <v>100</v>
      </c>
      <c r="D19" s="3">
        <v>150</v>
      </c>
      <c r="E19" s="3">
        <v>0</v>
      </c>
      <c r="F19" s="3">
        <v>0</v>
      </c>
    </row>
    <row r="20" spans="1:6" x14ac:dyDescent="0.3">
      <c r="A20" s="246" t="s">
        <v>12</v>
      </c>
      <c r="B20" s="2">
        <v>42</v>
      </c>
      <c r="C20" s="2">
        <v>2</v>
      </c>
      <c r="D20" s="2">
        <v>0</v>
      </c>
      <c r="E20" s="2">
        <v>0</v>
      </c>
      <c r="F20" s="2">
        <v>0</v>
      </c>
    </row>
    <row r="21" spans="1:6" x14ac:dyDescent="0.3">
      <c r="A21" s="246"/>
      <c r="B21" s="3">
        <v>3830</v>
      </c>
      <c r="C21" s="3">
        <v>200</v>
      </c>
      <c r="D21" s="3">
        <v>0</v>
      </c>
      <c r="E21" s="3">
        <v>0</v>
      </c>
      <c r="F21" s="3">
        <v>0</v>
      </c>
    </row>
    <row r="22" spans="1:6" x14ac:dyDescent="0.3">
      <c r="A22" s="246" t="s">
        <v>13</v>
      </c>
      <c r="B22" s="2">
        <v>18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246"/>
      <c r="B23" s="3">
        <v>1750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3">
      <c r="A24" s="246" t="s">
        <v>14</v>
      </c>
      <c r="B24" s="2">
        <v>19</v>
      </c>
      <c r="C24" s="2">
        <v>3</v>
      </c>
      <c r="D24" s="2">
        <v>0</v>
      </c>
      <c r="E24" s="2">
        <v>0</v>
      </c>
      <c r="F24" s="2">
        <v>0</v>
      </c>
    </row>
    <row r="25" spans="1:6" x14ac:dyDescent="0.3">
      <c r="A25" s="246"/>
      <c r="B25" s="3">
        <v>1595</v>
      </c>
      <c r="C25" s="3">
        <v>300</v>
      </c>
      <c r="D25" s="3">
        <v>0</v>
      </c>
      <c r="E25" s="3">
        <v>0</v>
      </c>
      <c r="F25" s="3">
        <v>0</v>
      </c>
    </row>
    <row r="26" spans="1:6" x14ac:dyDescent="0.3">
      <c r="A26" s="246" t="s">
        <v>15</v>
      </c>
      <c r="B26" s="2">
        <v>31</v>
      </c>
      <c r="C26" s="2">
        <v>0</v>
      </c>
      <c r="D26" s="2">
        <v>4</v>
      </c>
      <c r="E26" s="2">
        <v>0</v>
      </c>
      <c r="F26" s="2">
        <v>0</v>
      </c>
    </row>
    <row r="27" spans="1:6" x14ac:dyDescent="0.3">
      <c r="A27" s="246"/>
      <c r="B27" s="3">
        <v>3050</v>
      </c>
      <c r="C27" s="3">
        <v>0</v>
      </c>
      <c r="D27" s="3">
        <v>325</v>
      </c>
      <c r="E27" s="3">
        <v>0</v>
      </c>
      <c r="F27" s="3">
        <v>0</v>
      </c>
    </row>
    <row r="28" spans="1:6" x14ac:dyDescent="0.3">
      <c r="A28" s="246" t="s">
        <v>16</v>
      </c>
      <c r="B28" s="2">
        <v>20</v>
      </c>
      <c r="C28" s="2">
        <v>1</v>
      </c>
      <c r="D28" s="2">
        <v>0</v>
      </c>
      <c r="E28" s="2">
        <v>0</v>
      </c>
      <c r="F28" s="2">
        <v>0</v>
      </c>
    </row>
    <row r="29" spans="1:6" x14ac:dyDescent="0.3">
      <c r="A29" s="246"/>
      <c r="B29" s="3">
        <v>2000</v>
      </c>
      <c r="C29" s="3">
        <v>75</v>
      </c>
      <c r="D29" s="3">
        <v>0</v>
      </c>
      <c r="E29" s="3">
        <v>0</v>
      </c>
      <c r="F29" s="3">
        <v>0</v>
      </c>
    </row>
    <row r="30" spans="1:6" x14ac:dyDescent="0.3">
      <c r="A30" s="246" t="s">
        <v>17</v>
      </c>
      <c r="B30" s="2">
        <v>61</v>
      </c>
      <c r="C30" s="2">
        <v>2</v>
      </c>
      <c r="D30" s="2">
        <v>7</v>
      </c>
      <c r="E30" s="2">
        <v>0</v>
      </c>
      <c r="F30" s="2">
        <v>0</v>
      </c>
    </row>
    <row r="31" spans="1:6" x14ac:dyDescent="0.3">
      <c r="A31" s="246"/>
      <c r="B31" s="3">
        <v>5680</v>
      </c>
      <c r="C31" s="3">
        <v>200</v>
      </c>
      <c r="D31" s="3">
        <v>600</v>
      </c>
      <c r="E31" s="3">
        <v>0</v>
      </c>
      <c r="F31" s="3">
        <v>0</v>
      </c>
    </row>
    <row r="32" spans="1:6" x14ac:dyDescent="0.3">
      <c r="A32" s="246" t="s">
        <v>19</v>
      </c>
      <c r="B32" s="2">
        <v>1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246"/>
      <c r="B33" s="3">
        <v>100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3">
      <c r="A34" s="246" t="s">
        <v>20</v>
      </c>
      <c r="B34" s="2">
        <v>134</v>
      </c>
      <c r="C34" s="2">
        <v>3</v>
      </c>
      <c r="D34" s="2">
        <v>3</v>
      </c>
      <c r="E34" s="2">
        <v>1</v>
      </c>
      <c r="F34" s="2">
        <v>0</v>
      </c>
    </row>
    <row r="35" spans="1:6" x14ac:dyDescent="0.3">
      <c r="A35" s="246"/>
      <c r="B35" s="3">
        <v>11225</v>
      </c>
      <c r="C35" s="3">
        <v>225</v>
      </c>
      <c r="D35" s="3">
        <v>250</v>
      </c>
      <c r="E35" s="3">
        <v>75</v>
      </c>
      <c r="F35" s="3">
        <v>0</v>
      </c>
    </row>
    <row r="36" spans="1:6" x14ac:dyDescent="0.3">
      <c r="A36" s="246" t="s">
        <v>21</v>
      </c>
      <c r="B36" s="2">
        <v>39</v>
      </c>
      <c r="C36" s="2">
        <v>3</v>
      </c>
      <c r="D36" s="2">
        <v>2</v>
      </c>
      <c r="E36" s="2">
        <v>0</v>
      </c>
      <c r="F36" s="2">
        <v>0</v>
      </c>
    </row>
    <row r="37" spans="1:6" x14ac:dyDescent="0.3">
      <c r="A37" s="246"/>
      <c r="B37" s="3">
        <v>3210</v>
      </c>
      <c r="C37" s="3">
        <v>250</v>
      </c>
      <c r="D37" s="3">
        <v>150</v>
      </c>
      <c r="E37" s="3">
        <v>0</v>
      </c>
      <c r="F37" s="3">
        <v>0</v>
      </c>
    </row>
    <row r="38" spans="1:6" x14ac:dyDescent="0.3">
      <c r="A38" s="246" t="s">
        <v>23</v>
      </c>
      <c r="B38" s="2">
        <v>321</v>
      </c>
      <c r="C38" s="2">
        <v>11</v>
      </c>
      <c r="D38" s="2">
        <v>4</v>
      </c>
      <c r="E38" s="2">
        <v>1</v>
      </c>
      <c r="F38" s="2">
        <v>0</v>
      </c>
    </row>
    <row r="39" spans="1:6" x14ac:dyDescent="0.3">
      <c r="A39" s="246"/>
      <c r="B39" s="3">
        <v>28935</v>
      </c>
      <c r="C39" s="3">
        <v>3035</v>
      </c>
      <c r="D39" s="3">
        <v>325</v>
      </c>
      <c r="E39" s="3">
        <v>75</v>
      </c>
      <c r="F39" s="3">
        <v>0</v>
      </c>
    </row>
    <row r="40" spans="1:6" x14ac:dyDescent="0.3">
      <c r="A40" s="246" t="s">
        <v>24</v>
      </c>
      <c r="B40" s="2">
        <v>103</v>
      </c>
      <c r="C40" s="2">
        <v>7</v>
      </c>
      <c r="D40" s="2">
        <v>2</v>
      </c>
      <c r="E40" s="2">
        <v>0</v>
      </c>
      <c r="F40" s="2">
        <v>0</v>
      </c>
    </row>
    <row r="41" spans="1:6" x14ac:dyDescent="0.3">
      <c r="A41" s="246"/>
      <c r="B41" s="3">
        <v>9375</v>
      </c>
      <c r="C41" s="3">
        <v>650</v>
      </c>
      <c r="D41" s="3">
        <v>150</v>
      </c>
      <c r="E41" s="3">
        <v>0</v>
      </c>
      <c r="F41" s="3">
        <v>0</v>
      </c>
    </row>
    <row r="42" spans="1:6" x14ac:dyDescent="0.3">
      <c r="A42" s="246" t="s">
        <v>25</v>
      </c>
      <c r="B42" s="2">
        <v>40</v>
      </c>
      <c r="C42" s="2">
        <v>2</v>
      </c>
      <c r="D42" s="2">
        <v>1</v>
      </c>
      <c r="E42" s="2">
        <v>0</v>
      </c>
      <c r="F42" s="2">
        <v>0</v>
      </c>
    </row>
    <row r="43" spans="1:6" x14ac:dyDescent="0.3">
      <c r="A43" s="246"/>
      <c r="B43" s="3">
        <v>3620</v>
      </c>
      <c r="C43" s="3">
        <v>175</v>
      </c>
      <c r="D43" s="3">
        <v>100</v>
      </c>
      <c r="E43" s="3">
        <v>0</v>
      </c>
      <c r="F43" s="3">
        <v>0</v>
      </c>
    </row>
    <row r="44" spans="1:6" x14ac:dyDescent="0.3">
      <c r="A44" s="246" t="s">
        <v>26</v>
      </c>
      <c r="B44" s="2">
        <v>2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46"/>
      <c r="B45" s="3">
        <v>175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3">
      <c r="A46" s="246" t="s">
        <v>27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46"/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3">
      <c r="A48" s="246" t="s">
        <v>28</v>
      </c>
      <c r="B48" s="2">
        <v>81</v>
      </c>
      <c r="C48" s="2">
        <v>2</v>
      </c>
      <c r="D48" s="2">
        <v>1</v>
      </c>
      <c r="E48" s="2">
        <v>1</v>
      </c>
      <c r="F48" s="2">
        <v>0</v>
      </c>
    </row>
    <row r="49" spans="1:6" x14ac:dyDescent="0.3">
      <c r="A49" s="246"/>
      <c r="B49" s="3">
        <v>6570</v>
      </c>
      <c r="C49" s="3">
        <v>150</v>
      </c>
      <c r="D49" s="3">
        <v>75</v>
      </c>
      <c r="E49" s="3">
        <v>75</v>
      </c>
      <c r="F49" s="3">
        <v>0</v>
      </c>
    </row>
    <row r="50" spans="1:6" x14ac:dyDescent="0.3">
      <c r="A50" s="246" t="s">
        <v>29</v>
      </c>
      <c r="B50" s="2">
        <v>314</v>
      </c>
      <c r="C50" s="2">
        <v>19</v>
      </c>
      <c r="D50" s="2">
        <v>3</v>
      </c>
      <c r="E50" s="2">
        <v>0</v>
      </c>
      <c r="F50" s="2">
        <v>0</v>
      </c>
    </row>
    <row r="51" spans="1:6" x14ac:dyDescent="0.3">
      <c r="A51" s="246"/>
      <c r="B51" s="3">
        <v>29290</v>
      </c>
      <c r="C51" s="3">
        <v>1725</v>
      </c>
      <c r="D51" s="3">
        <v>250</v>
      </c>
      <c r="E51" s="3">
        <v>0</v>
      </c>
      <c r="F51" s="3">
        <v>0</v>
      </c>
    </row>
    <row r="52" spans="1:6" x14ac:dyDescent="0.3">
      <c r="A52" s="246" t="s">
        <v>30</v>
      </c>
      <c r="B52" s="2">
        <v>35</v>
      </c>
      <c r="C52" s="2">
        <v>1</v>
      </c>
      <c r="D52" s="2">
        <v>0</v>
      </c>
      <c r="E52" s="2">
        <v>0</v>
      </c>
      <c r="F52" s="2">
        <v>0</v>
      </c>
    </row>
    <row r="53" spans="1:6" x14ac:dyDescent="0.3">
      <c r="A53" s="246"/>
      <c r="B53" s="3">
        <v>3375</v>
      </c>
      <c r="C53" s="3">
        <v>100</v>
      </c>
      <c r="D53" s="3">
        <v>0</v>
      </c>
      <c r="E53" s="3">
        <v>0</v>
      </c>
      <c r="F53" s="3">
        <v>0</v>
      </c>
    </row>
    <row r="54" spans="1:6" x14ac:dyDescent="0.3">
      <c r="A54" s="246" t="s">
        <v>31</v>
      </c>
      <c r="B54" s="2">
        <v>568</v>
      </c>
      <c r="C54" s="2">
        <v>40</v>
      </c>
      <c r="D54" s="2">
        <v>15</v>
      </c>
      <c r="E54" s="2">
        <v>0</v>
      </c>
      <c r="F54" s="2">
        <v>2</v>
      </c>
    </row>
    <row r="55" spans="1:6" x14ac:dyDescent="0.3">
      <c r="A55" s="246"/>
      <c r="B55" s="3">
        <v>53257.1</v>
      </c>
      <c r="C55" s="3">
        <v>3555</v>
      </c>
      <c r="D55" s="3">
        <v>1350</v>
      </c>
      <c r="E55" s="3">
        <v>0</v>
      </c>
      <c r="F55" s="3">
        <v>150</v>
      </c>
    </row>
    <row r="56" spans="1:6" x14ac:dyDescent="0.3">
      <c r="A56" s="246" t="s">
        <v>32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246"/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3">
      <c r="A58" s="7" t="s">
        <v>5</v>
      </c>
      <c r="B58" s="7" t="s">
        <v>33</v>
      </c>
      <c r="C58" s="7" t="s">
        <v>34</v>
      </c>
      <c r="D58" s="7" t="s">
        <v>35</v>
      </c>
      <c r="E58" s="7" t="s">
        <v>36</v>
      </c>
      <c r="F58" s="7" t="s">
        <v>37</v>
      </c>
    </row>
  </sheetData>
  <mergeCells count="28">
    <mergeCell ref="A12:A13"/>
    <mergeCell ref="A2:F2"/>
    <mergeCell ref="A4:A5"/>
    <mergeCell ref="A6:A7"/>
    <mergeCell ref="A8:A9"/>
    <mergeCell ref="A10:A11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73186-9D61-41F3-83D9-ACD48193B3E5}">
  <sheetPr>
    <tabColor theme="3"/>
  </sheetPr>
  <dimension ref="A2:F58"/>
  <sheetViews>
    <sheetView topLeftCell="A40" workbookViewId="0">
      <selection activeCell="A4" sqref="A4:A57"/>
    </sheetView>
  </sheetViews>
  <sheetFormatPr defaultRowHeight="14.4" x14ac:dyDescent="0.3"/>
  <cols>
    <col min="1" max="1" width="5.33203125" style="5" customWidth="1"/>
    <col min="2" max="2" width="12.6640625" style="1" bestFit="1" customWidth="1"/>
    <col min="3" max="3" width="11.6640625" style="1" bestFit="1" customWidth="1"/>
    <col min="4" max="4" width="10.109375" style="1" bestFit="1" customWidth="1"/>
    <col min="5" max="5" width="14.6640625" style="1" bestFit="1" customWidth="1"/>
    <col min="6" max="6" width="10.109375" bestFit="1" customWidth="1"/>
  </cols>
  <sheetData>
    <row r="2" spans="1:6" x14ac:dyDescent="0.3">
      <c r="A2" s="247">
        <v>2018</v>
      </c>
      <c r="B2" s="247"/>
      <c r="C2" s="247"/>
      <c r="D2" s="247"/>
      <c r="E2" s="247"/>
      <c r="F2" s="247"/>
    </row>
    <row r="3" spans="1:6" x14ac:dyDescent="0.3">
      <c r="A3" s="7" t="s">
        <v>5</v>
      </c>
      <c r="B3" s="7" t="s">
        <v>1</v>
      </c>
      <c r="C3" s="7" t="s">
        <v>2</v>
      </c>
      <c r="D3" s="7" t="s">
        <v>3</v>
      </c>
      <c r="E3" s="7" t="s">
        <v>18</v>
      </c>
      <c r="F3" s="7" t="s">
        <v>22</v>
      </c>
    </row>
    <row r="4" spans="1:6" x14ac:dyDescent="0.3">
      <c r="A4" s="246" t="s">
        <v>0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46"/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3">
      <c r="A6" s="246" t="s">
        <v>4</v>
      </c>
      <c r="B6" s="2">
        <v>17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246"/>
      <c r="B7" s="3">
        <v>1672</v>
      </c>
      <c r="C7" s="3">
        <v>0</v>
      </c>
      <c r="D7" s="3">
        <v>0</v>
      </c>
      <c r="E7" s="3">
        <v>0</v>
      </c>
      <c r="F7" s="3">
        <v>0</v>
      </c>
    </row>
    <row r="8" spans="1:6" x14ac:dyDescent="0.3">
      <c r="A8" s="246" t="s">
        <v>6</v>
      </c>
      <c r="B8" s="2">
        <v>60</v>
      </c>
      <c r="C8" s="2">
        <v>8</v>
      </c>
      <c r="D8" s="2">
        <v>0</v>
      </c>
      <c r="E8" s="2">
        <v>0</v>
      </c>
      <c r="F8" s="2">
        <v>0</v>
      </c>
    </row>
    <row r="9" spans="1:6" x14ac:dyDescent="0.3">
      <c r="A9" s="246"/>
      <c r="B9" s="3">
        <v>5698</v>
      </c>
      <c r="C9" s="3">
        <v>654.5</v>
      </c>
      <c r="D9" s="3">
        <v>0</v>
      </c>
      <c r="E9" s="3">
        <v>0</v>
      </c>
      <c r="F9" s="3">
        <v>0</v>
      </c>
    </row>
    <row r="10" spans="1:6" x14ac:dyDescent="0.3">
      <c r="A10" s="246" t="s">
        <v>7</v>
      </c>
      <c r="B10" s="2">
        <v>29</v>
      </c>
      <c r="C10" s="2">
        <v>3</v>
      </c>
      <c r="D10" s="2">
        <v>0</v>
      </c>
      <c r="E10" s="2">
        <v>0</v>
      </c>
      <c r="F10" s="2">
        <v>0</v>
      </c>
    </row>
    <row r="11" spans="1:6" x14ac:dyDescent="0.3">
      <c r="A11" s="246"/>
      <c r="B11" s="3">
        <v>2552</v>
      </c>
      <c r="C11" s="3">
        <v>247.5</v>
      </c>
      <c r="D11" s="3">
        <v>0</v>
      </c>
      <c r="E11" s="3">
        <v>0</v>
      </c>
      <c r="F11" s="3">
        <v>0</v>
      </c>
    </row>
    <row r="12" spans="1:6" x14ac:dyDescent="0.3">
      <c r="A12" s="246" t="s">
        <v>8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246"/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3">
      <c r="A14" s="246" t="s">
        <v>9</v>
      </c>
      <c r="B14" s="2">
        <v>77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246"/>
      <c r="B15" s="3">
        <v>7694.5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3">
      <c r="A16" s="246" t="s">
        <v>10</v>
      </c>
      <c r="B16" s="2">
        <v>107</v>
      </c>
      <c r="C16" s="2">
        <v>4</v>
      </c>
      <c r="D16" s="2">
        <v>0</v>
      </c>
      <c r="E16" s="2">
        <v>0</v>
      </c>
      <c r="F16" s="2">
        <v>1</v>
      </c>
    </row>
    <row r="17" spans="1:6" x14ac:dyDescent="0.3">
      <c r="A17" s="246"/>
      <c r="B17" s="3">
        <v>10202.5</v>
      </c>
      <c r="C17" s="3">
        <v>412.5</v>
      </c>
      <c r="D17" s="3">
        <v>0</v>
      </c>
      <c r="E17" s="3">
        <v>0</v>
      </c>
      <c r="F17" s="3">
        <v>110</v>
      </c>
    </row>
    <row r="18" spans="1:6" x14ac:dyDescent="0.3">
      <c r="A18" s="246" t="s">
        <v>11</v>
      </c>
      <c r="B18" s="2">
        <v>54</v>
      </c>
      <c r="C18" s="2">
        <v>0</v>
      </c>
      <c r="D18" s="2">
        <v>9</v>
      </c>
      <c r="E18" s="2">
        <v>0</v>
      </c>
      <c r="F18" s="2">
        <v>0</v>
      </c>
    </row>
    <row r="19" spans="1:6" x14ac:dyDescent="0.3">
      <c r="A19" s="246"/>
      <c r="B19" s="3">
        <v>4851</v>
      </c>
      <c r="C19" s="3">
        <v>0</v>
      </c>
      <c r="D19" s="3">
        <v>907.5</v>
      </c>
      <c r="E19" s="3">
        <v>0</v>
      </c>
      <c r="F19" s="3">
        <v>0</v>
      </c>
    </row>
    <row r="20" spans="1:6" x14ac:dyDescent="0.3">
      <c r="A20" s="246" t="s">
        <v>12</v>
      </c>
      <c r="B20" s="2">
        <v>35</v>
      </c>
      <c r="C20" s="2">
        <v>1</v>
      </c>
      <c r="D20" s="2">
        <v>0</v>
      </c>
      <c r="E20" s="2">
        <v>0</v>
      </c>
      <c r="F20" s="2">
        <v>0</v>
      </c>
    </row>
    <row r="21" spans="1:6" x14ac:dyDescent="0.3">
      <c r="A21" s="246"/>
      <c r="B21" s="3">
        <v>3091</v>
      </c>
      <c r="C21" s="3">
        <v>110</v>
      </c>
      <c r="D21" s="3">
        <v>0</v>
      </c>
      <c r="E21" s="3">
        <v>0</v>
      </c>
      <c r="F21" s="3">
        <v>0</v>
      </c>
    </row>
    <row r="22" spans="1:6" x14ac:dyDescent="0.3">
      <c r="A22" s="246" t="s">
        <v>13</v>
      </c>
      <c r="B22" s="2">
        <v>31</v>
      </c>
      <c r="C22" s="2">
        <v>1</v>
      </c>
      <c r="D22" s="2">
        <v>0</v>
      </c>
      <c r="E22" s="2">
        <v>0</v>
      </c>
      <c r="F22" s="2">
        <v>0</v>
      </c>
    </row>
    <row r="23" spans="1:6" x14ac:dyDescent="0.3">
      <c r="A23" s="246"/>
      <c r="B23" s="3">
        <v>2981</v>
      </c>
      <c r="C23" s="3">
        <v>82.5</v>
      </c>
      <c r="D23" s="3">
        <v>0</v>
      </c>
      <c r="E23" s="3">
        <v>0</v>
      </c>
      <c r="F23" s="3">
        <v>0</v>
      </c>
    </row>
    <row r="24" spans="1:6" x14ac:dyDescent="0.3">
      <c r="A24" s="246" t="s">
        <v>14</v>
      </c>
      <c r="B24" s="2">
        <v>30</v>
      </c>
      <c r="C24" s="2">
        <v>4</v>
      </c>
      <c r="D24" s="2">
        <v>0</v>
      </c>
      <c r="E24" s="2">
        <v>0</v>
      </c>
      <c r="F24" s="2">
        <v>0</v>
      </c>
    </row>
    <row r="25" spans="1:6" x14ac:dyDescent="0.3">
      <c r="A25" s="246"/>
      <c r="B25" s="3">
        <v>2541</v>
      </c>
      <c r="C25" s="3">
        <v>330</v>
      </c>
      <c r="D25" s="3">
        <v>0</v>
      </c>
      <c r="E25" s="3">
        <v>0</v>
      </c>
      <c r="F25" s="3">
        <v>0</v>
      </c>
    </row>
    <row r="26" spans="1:6" x14ac:dyDescent="0.3">
      <c r="A26" s="246" t="s">
        <v>15</v>
      </c>
      <c r="B26" s="2">
        <v>44</v>
      </c>
      <c r="C26" s="2">
        <v>0</v>
      </c>
      <c r="D26" s="2">
        <v>3</v>
      </c>
      <c r="E26" s="2">
        <v>0</v>
      </c>
      <c r="F26" s="2">
        <v>0</v>
      </c>
    </row>
    <row r="27" spans="1:6" x14ac:dyDescent="0.3">
      <c r="A27" s="246"/>
      <c r="B27" s="3">
        <v>3877.5</v>
      </c>
      <c r="C27" s="3">
        <v>0</v>
      </c>
      <c r="D27" s="3">
        <v>247.5</v>
      </c>
      <c r="E27" s="3">
        <v>0</v>
      </c>
      <c r="F27" s="3">
        <v>0</v>
      </c>
    </row>
    <row r="28" spans="1:6" x14ac:dyDescent="0.3">
      <c r="A28" s="246" t="s">
        <v>16</v>
      </c>
      <c r="B28" s="2">
        <v>22</v>
      </c>
      <c r="C28" s="2">
        <v>1</v>
      </c>
      <c r="D28" s="2">
        <v>0</v>
      </c>
      <c r="E28" s="2">
        <v>0</v>
      </c>
      <c r="F28" s="2">
        <v>0</v>
      </c>
    </row>
    <row r="29" spans="1:6" x14ac:dyDescent="0.3">
      <c r="A29" s="246"/>
      <c r="B29" s="3">
        <v>1974.5</v>
      </c>
      <c r="C29" s="3">
        <v>93.5</v>
      </c>
      <c r="D29" s="3">
        <v>0</v>
      </c>
      <c r="E29" s="3">
        <v>0</v>
      </c>
      <c r="F29" s="3">
        <v>0</v>
      </c>
    </row>
    <row r="30" spans="1:6" x14ac:dyDescent="0.3">
      <c r="A30" s="246" t="s">
        <v>17</v>
      </c>
      <c r="B30" s="2">
        <v>74</v>
      </c>
      <c r="C30" s="2">
        <v>10</v>
      </c>
      <c r="D30" s="2">
        <v>0</v>
      </c>
      <c r="E30" s="2">
        <v>0</v>
      </c>
      <c r="F30" s="2">
        <v>0</v>
      </c>
    </row>
    <row r="31" spans="1:6" x14ac:dyDescent="0.3">
      <c r="A31" s="246"/>
      <c r="B31" s="3">
        <v>6853</v>
      </c>
      <c r="C31" s="3">
        <v>1045</v>
      </c>
      <c r="D31" s="3">
        <v>0</v>
      </c>
      <c r="E31" s="3">
        <v>0</v>
      </c>
      <c r="F31" s="3">
        <v>0</v>
      </c>
    </row>
    <row r="32" spans="1:6" x14ac:dyDescent="0.3">
      <c r="A32" s="246" t="s">
        <v>19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246"/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3">
      <c r="A34" s="246" t="s">
        <v>20</v>
      </c>
      <c r="B34" s="2">
        <v>142</v>
      </c>
      <c r="C34" s="2">
        <v>4</v>
      </c>
      <c r="D34" s="2">
        <v>4</v>
      </c>
      <c r="E34" s="2">
        <v>1</v>
      </c>
      <c r="F34" s="2">
        <v>0</v>
      </c>
    </row>
    <row r="35" spans="1:6" x14ac:dyDescent="0.3">
      <c r="A35" s="246"/>
      <c r="B35" s="3">
        <v>12809.5</v>
      </c>
      <c r="C35" s="3">
        <v>330</v>
      </c>
      <c r="D35" s="3">
        <v>385</v>
      </c>
      <c r="E35" s="3">
        <v>82.5</v>
      </c>
      <c r="F35" s="3">
        <v>0</v>
      </c>
    </row>
    <row r="36" spans="1:6" x14ac:dyDescent="0.3">
      <c r="A36" s="246" t="s">
        <v>21</v>
      </c>
      <c r="B36" s="2">
        <v>36</v>
      </c>
      <c r="C36" s="2">
        <v>3</v>
      </c>
      <c r="D36" s="2">
        <v>1</v>
      </c>
      <c r="E36" s="2">
        <v>0</v>
      </c>
      <c r="F36" s="2">
        <v>0</v>
      </c>
    </row>
    <row r="37" spans="1:6" x14ac:dyDescent="0.3">
      <c r="A37" s="246"/>
      <c r="B37" s="3">
        <v>3085.5</v>
      </c>
      <c r="C37" s="3">
        <v>247.5</v>
      </c>
      <c r="D37" s="3">
        <v>82.5</v>
      </c>
      <c r="E37" s="3">
        <v>0</v>
      </c>
      <c r="F37" s="3">
        <v>0</v>
      </c>
    </row>
    <row r="38" spans="1:6" x14ac:dyDescent="0.3">
      <c r="A38" s="246" t="s">
        <v>23</v>
      </c>
      <c r="B38" s="2">
        <v>351</v>
      </c>
      <c r="C38" s="2">
        <v>11</v>
      </c>
      <c r="D38" s="2">
        <v>3</v>
      </c>
      <c r="E38" s="2">
        <v>0</v>
      </c>
      <c r="F38" s="2">
        <v>1</v>
      </c>
    </row>
    <row r="39" spans="1:6" x14ac:dyDescent="0.3">
      <c r="A39" s="246"/>
      <c r="B39" s="3">
        <v>34259.5</v>
      </c>
      <c r="C39" s="3">
        <v>880</v>
      </c>
      <c r="D39" s="3">
        <v>286</v>
      </c>
      <c r="E39" s="3">
        <v>0</v>
      </c>
      <c r="F39" s="3">
        <v>110</v>
      </c>
    </row>
    <row r="40" spans="1:6" x14ac:dyDescent="0.3">
      <c r="A40" s="246" t="s">
        <v>24</v>
      </c>
      <c r="B40" s="2">
        <v>98</v>
      </c>
      <c r="C40" s="2">
        <v>5</v>
      </c>
      <c r="D40" s="2">
        <v>1</v>
      </c>
      <c r="E40" s="2">
        <v>0</v>
      </c>
      <c r="F40" s="2">
        <v>0</v>
      </c>
    </row>
    <row r="41" spans="1:6" x14ac:dyDescent="0.3">
      <c r="A41" s="246"/>
      <c r="B41" s="3">
        <v>9575.5</v>
      </c>
      <c r="C41" s="3">
        <v>497.1</v>
      </c>
      <c r="D41" s="3">
        <v>82.5</v>
      </c>
      <c r="E41" s="3"/>
      <c r="F41" s="3"/>
    </row>
    <row r="42" spans="1:6" x14ac:dyDescent="0.3">
      <c r="A42" s="246" t="s">
        <v>25</v>
      </c>
      <c r="B42" s="2">
        <v>73</v>
      </c>
      <c r="C42" s="2">
        <v>2</v>
      </c>
      <c r="D42" s="2">
        <v>10</v>
      </c>
      <c r="E42" s="2">
        <v>0</v>
      </c>
      <c r="F42" s="2">
        <v>0</v>
      </c>
    </row>
    <row r="43" spans="1:6" x14ac:dyDescent="0.3">
      <c r="A43" s="246"/>
      <c r="B43" s="3">
        <v>7001.5</v>
      </c>
      <c r="C43" s="3">
        <v>192.5</v>
      </c>
      <c r="D43" s="3">
        <v>836</v>
      </c>
      <c r="E43" s="3">
        <v>0</v>
      </c>
      <c r="F43" s="3">
        <v>0</v>
      </c>
    </row>
    <row r="44" spans="1:6" x14ac:dyDescent="0.3">
      <c r="A44" s="246" t="s">
        <v>26</v>
      </c>
      <c r="B44" s="2">
        <v>18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46"/>
      <c r="B45" s="3">
        <v>1485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3">
      <c r="A46" s="246" t="s">
        <v>27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46"/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3">
      <c r="A48" s="246" t="s">
        <v>28</v>
      </c>
      <c r="B48" s="2">
        <v>87</v>
      </c>
      <c r="C48" s="2">
        <v>4</v>
      </c>
      <c r="D48" s="2">
        <v>1</v>
      </c>
      <c r="E48" s="2">
        <v>1</v>
      </c>
      <c r="F48" s="2">
        <v>0</v>
      </c>
    </row>
    <row r="49" spans="1:6" x14ac:dyDescent="0.3">
      <c r="A49" s="246"/>
      <c r="B49" s="3">
        <v>7810</v>
      </c>
      <c r="C49" s="3">
        <v>330</v>
      </c>
      <c r="D49" s="3">
        <v>82.5</v>
      </c>
      <c r="E49" s="3">
        <v>82.5</v>
      </c>
      <c r="F49" s="3">
        <v>0</v>
      </c>
    </row>
    <row r="50" spans="1:6" x14ac:dyDescent="0.3">
      <c r="A50" s="246" t="s">
        <v>29</v>
      </c>
      <c r="B50" s="2">
        <v>336</v>
      </c>
      <c r="C50" s="2">
        <v>18</v>
      </c>
      <c r="D50" s="2">
        <v>2</v>
      </c>
      <c r="E50" s="2">
        <v>0</v>
      </c>
      <c r="F50" s="2">
        <v>0</v>
      </c>
    </row>
    <row r="51" spans="1:6" x14ac:dyDescent="0.3">
      <c r="A51" s="246"/>
      <c r="B51" s="3">
        <v>33192.5</v>
      </c>
      <c r="C51" s="3">
        <v>1837</v>
      </c>
      <c r="D51" s="3">
        <v>192.5</v>
      </c>
      <c r="E51" s="3">
        <v>0</v>
      </c>
      <c r="F51" s="3">
        <v>0</v>
      </c>
    </row>
    <row r="52" spans="1:6" x14ac:dyDescent="0.3">
      <c r="A52" s="246" t="s">
        <v>30</v>
      </c>
      <c r="B52" s="2">
        <v>34</v>
      </c>
      <c r="C52" s="2">
        <v>1</v>
      </c>
      <c r="D52" s="2">
        <v>0</v>
      </c>
      <c r="E52" s="2">
        <v>0</v>
      </c>
      <c r="F52" s="2">
        <v>0</v>
      </c>
    </row>
    <row r="53" spans="1:6" x14ac:dyDescent="0.3">
      <c r="A53" s="246"/>
      <c r="B53" s="3">
        <v>2871</v>
      </c>
      <c r="C53" s="3">
        <v>82.5</v>
      </c>
      <c r="D53" s="3">
        <v>0</v>
      </c>
      <c r="E53" s="3">
        <v>0</v>
      </c>
      <c r="F53" s="3">
        <v>0</v>
      </c>
    </row>
    <row r="54" spans="1:6" x14ac:dyDescent="0.3">
      <c r="A54" s="246" t="s">
        <v>31</v>
      </c>
      <c r="B54" s="2">
        <v>612</v>
      </c>
      <c r="C54" s="2">
        <v>39</v>
      </c>
      <c r="D54" s="2">
        <v>8</v>
      </c>
      <c r="E54" s="2">
        <v>0</v>
      </c>
      <c r="F54" s="2">
        <v>2</v>
      </c>
    </row>
    <row r="55" spans="1:6" x14ac:dyDescent="0.3">
      <c r="A55" s="246"/>
      <c r="B55" s="3">
        <v>59108.5</v>
      </c>
      <c r="C55" s="3">
        <v>3371.5</v>
      </c>
      <c r="D55" s="3">
        <v>687.5</v>
      </c>
      <c r="E55" s="3">
        <v>0</v>
      </c>
      <c r="F55" s="3">
        <v>192.5</v>
      </c>
    </row>
    <row r="56" spans="1:6" x14ac:dyDescent="0.3">
      <c r="A56" s="246" t="s">
        <v>32</v>
      </c>
      <c r="B56" s="2">
        <v>0</v>
      </c>
      <c r="C56" s="2">
        <v>0</v>
      </c>
      <c r="D56" s="2">
        <v>0</v>
      </c>
      <c r="E56" s="2"/>
      <c r="F56" s="2">
        <v>0</v>
      </c>
    </row>
    <row r="57" spans="1:6" x14ac:dyDescent="0.3">
      <c r="A57" s="246"/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3">
      <c r="A58" s="7" t="s">
        <v>5</v>
      </c>
      <c r="B58" s="7" t="s">
        <v>1</v>
      </c>
      <c r="C58" s="7" t="s">
        <v>2</v>
      </c>
      <c r="D58" s="7" t="s">
        <v>3</v>
      </c>
      <c r="E58" s="7" t="s">
        <v>18</v>
      </c>
      <c r="F58" s="7" t="s">
        <v>22</v>
      </c>
    </row>
  </sheetData>
  <mergeCells count="28">
    <mergeCell ref="A12:A13"/>
    <mergeCell ref="A2:F2"/>
    <mergeCell ref="A4:A5"/>
    <mergeCell ref="A6:A7"/>
    <mergeCell ref="A8:A9"/>
    <mergeCell ref="A10:A11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AD195-8FF7-46A7-AB44-84DC686D9E61}">
  <sheetPr>
    <tabColor theme="3"/>
  </sheetPr>
  <dimension ref="A2:F58"/>
  <sheetViews>
    <sheetView workbookViewId="0"/>
  </sheetViews>
  <sheetFormatPr defaultRowHeight="14.4" x14ac:dyDescent="0.3"/>
  <cols>
    <col min="1" max="1" width="5.33203125" style="5" customWidth="1"/>
    <col min="2" max="2" width="12.6640625" style="1" bestFit="1" customWidth="1"/>
    <col min="3" max="4" width="11.6640625" style="1" bestFit="1" customWidth="1"/>
    <col min="5" max="5" width="14.6640625" style="1" bestFit="1" customWidth="1"/>
    <col min="6" max="6" width="10.109375" bestFit="1" customWidth="1"/>
  </cols>
  <sheetData>
    <row r="2" spans="1:6" x14ac:dyDescent="0.3">
      <c r="A2" s="247">
        <v>2019</v>
      </c>
      <c r="B2" s="247"/>
      <c r="C2" s="247"/>
      <c r="D2" s="247"/>
      <c r="E2" s="247"/>
      <c r="F2" s="247"/>
    </row>
    <row r="3" spans="1:6" x14ac:dyDescent="0.3">
      <c r="A3" s="7" t="s">
        <v>5</v>
      </c>
      <c r="B3" s="7" t="s">
        <v>1</v>
      </c>
      <c r="C3" s="7" t="s">
        <v>2</v>
      </c>
      <c r="D3" s="7" t="s">
        <v>3</v>
      </c>
      <c r="E3" s="7" t="s">
        <v>18</v>
      </c>
      <c r="F3" s="7" t="s">
        <v>22</v>
      </c>
    </row>
    <row r="4" spans="1:6" x14ac:dyDescent="0.3">
      <c r="A4" s="246" t="s">
        <v>0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46"/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3">
      <c r="A6" s="246" t="s">
        <v>4</v>
      </c>
      <c r="B6" s="2">
        <v>10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246"/>
      <c r="B7" s="3">
        <v>984</v>
      </c>
      <c r="C7" s="3">
        <v>0</v>
      </c>
      <c r="D7" s="3">
        <v>0</v>
      </c>
      <c r="E7" s="3">
        <v>0</v>
      </c>
      <c r="F7" s="3">
        <v>0</v>
      </c>
    </row>
    <row r="8" spans="1:6" x14ac:dyDescent="0.3">
      <c r="A8" s="246" t="s">
        <v>6</v>
      </c>
      <c r="B8" s="2">
        <v>77</v>
      </c>
      <c r="C8" s="2">
        <v>8</v>
      </c>
      <c r="D8" s="2">
        <v>0</v>
      </c>
      <c r="E8" s="2">
        <v>0</v>
      </c>
      <c r="F8" s="2">
        <v>0</v>
      </c>
    </row>
    <row r="9" spans="1:6" x14ac:dyDescent="0.3">
      <c r="A9" s="246"/>
      <c r="B9" s="3">
        <v>7299</v>
      </c>
      <c r="C9" s="3">
        <v>780</v>
      </c>
      <c r="D9" s="3">
        <v>0</v>
      </c>
      <c r="E9" s="3">
        <v>0</v>
      </c>
      <c r="F9" s="3">
        <v>0</v>
      </c>
    </row>
    <row r="10" spans="1:6" x14ac:dyDescent="0.3">
      <c r="A10" s="246" t="s">
        <v>7</v>
      </c>
      <c r="B10" s="2">
        <v>23</v>
      </c>
      <c r="C10" s="2">
        <v>3</v>
      </c>
      <c r="D10" s="2">
        <v>2</v>
      </c>
      <c r="E10" s="2">
        <v>0</v>
      </c>
      <c r="F10" s="2">
        <v>0</v>
      </c>
    </row>
    <row r="11" spans="1:6" x14ac:dyDescent="0.3">
      <c r="A11" s="246"/>
      <c r="B11" s="3">
        <v>2635</v>
      </c>
      <c r="C11" s="3">
        <v>330</v>
      </c>
      <c r="D11" s="3">
        <v>210</v>
      </c>
      <c r="E11" s="3">
        <v>0</v>
      </c>
      <c r="F11" s="3">
        <v>0</v>
      </c>
    </row>
    <row r="12" spans="1:6" x14ac:dyDescent="0.3">
      <c r="A12" s="246" t="s">
        <v>8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246"/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3">
      <c r="A14" s="246" t="s">
        <v>9</v>
      </c>
      <c r="B14" s="2">
        <v>82</v>
      </c>
      <c r="C14" s="2">
        <v>1</v>
      </c>
      <c r="D14" s="2">
        <v>1</v>
      </c>
      <c r="E14" s="2">
        <v>0</v>
      </c>
      <c r="F14" s="2">
        <v>0</v>
      </c>
    </row>
    <row r="15" spans="1:6" x14ac:dyDescent="0.3">
      <c r="A15" s="246"/>
      <c r="B15" s="3">
        <v>8096</v>
      </c>
      <c r="C15" s="3">
        <v>90</v>
      </c>
      <c r="D15" s="3">
        <v>120</v>
      </c>
      <c r="E15" s="3">
        <v>0</v>
      </c>
      <c r="F15" s="3">
        <v>0</v>
      </c>
    </row>
    <row r="16" spans="1:6" x14ac:dyDescent="0.3">
      <c r="A16" s="246" t="s">
        <v>10</v>
      </c>
      <c r="B16" s="2">
        <v>142</v>
      </c>
      <c r="C16" s="2">
        <v>8</v>
      </c>
      <c r="D16" s="2">
        <v>0</v>
      </c>
      <c r="E16" s="2">
        <v>0</v>
      </c>
      <c r="F16" s="2">
        <v>0</v>
      </c>
    </row>
    <row r="17" spans="1:6" x14ac:dyDescent="0.3">
      <c r="A17" s="246"/>
      <c r="B17" s="3">
        <v>14112.1</v>
      </c>
      <c r="C17" s="3">
        <v>930</v>
      </c>
      <c r="D17" s="3">
        <v>0</v>
      </c>
      <c r="E17" s="3">
        <v>0</v>
      </c>
      <c r="F17" s="3">
        <v>0</v>
      </c>
    </row>
    <row r="18" spans="1:6" x14ac:dyDescent="0.3">
      <c r="A18" s="246" t="s">
        <v>11</v>
      </c>
      <c r="B18" s="2">
        <v>47</v>
      </c>
      <c r="C18" s="2">
        <v>0</v>
      </c>
      <c r="D18" s="2">
        <v>6</v>
      </c>
      <c r="E18" s="2">
        <v>1</v>
      </c>
      <c r="F18" s="2">
        <v>0</v>
      </c>
    </row>
    <row r="19" spans="1:6" x14ac:dyDescent="0.3">
      <c r="A19" s="246"/>
      <c r="B19" s="3">
        <v>4644</v>
      </c>
      <c r="C19" s="3">
        <v>0</v>
      </c>
      <c r="D19" s="3">
        <v>702</v>
      </c>
      <c r="E19" s="3">
        <v>90</v>
      </c>
      <c r="F19" s="3">
        <v>0</v>
      </c>
    </row>
    <row r="20" spans="1:6" x14ac:dyDescent="0.3">
      <c r="A20" s="246" t="s">
        <v>12</v>
      </c>
      <c r="B20" s="2">
        <v>89</v>
      </c>
      <c r="C20" s="2">
        <v>2</v>
      </c>
      <c r="D20" s="2">
        <v>0</v>
      </c>
      <c r="E20" s="2">
        <v>0</v>
      </c>
      <c r="F20" s="2">
        <v>0</v>
      </c>
    </row>
    <row r="21" spans="1:6" x14ac:dyDescent="0.3">
      <c r="A21" s="246"/>
      <c r="B21" s="3">
        <v>8756.1</v>
      </c>
      <c r="C21" s="3">
        <v>210</v>
      </c>
      <c r="D21" s="3">
        <v>0</v>
      </c>
      <c r="E21" s="3">
        <v>0</v>
      </c>
      <c r="F21" s="3">
        <v>0</v>
      </c>
    </row>
    <row r="22" spans="1:6" x14ac:dyDescent="0.3">
      <c r="A22" s="246" t="s">
        <v>13</v>
      </c>
      <c r="B22" s="2">
        <v>48</v>
      </c>
      <c r="C22" s="2">
        <v>1</v>
      </c>
      <c r="D22" s="2">
        <v>2</v>
      </c>
      <c r="E22" s="2">
        <v>0</v>
      </c>
      <c r="F22" s="2">
        <v>0</v>
      </c>
    </row>
    <row r="23" spans="1:6" x14ac:dyDescent="0.3">
      <c r="A23" s="246"/>
      <c r="B23" s="3">
        <v>4900</v>
      </c>
      <c r="C23" s="3">
        <v>102</v>
      </c>
      <c r="D23" s="3">
        <v>240</v>
      </c>
      <c r="E23" s="3">
        <v>0</v>
      </c>
      <c r="F23" s="3">
        <v>0</v>
      </c>
    </row>
    <row r="24" spans="1:6" x14ac:dyDescent="0.3">
      <c r="A24" s="246" t="s">
        <v>14</v>
      </c>
      <c r="B24" s="2">
        <v>45</v>
      </c>
      <c r="C24" s="2">
        <v>5</v>
      </c>
      <c r="D24" s="2">
        <v>0</v>
      </c>
      <c r="E24" s="2">
        <v>0</v>
      </c>
      <c r="F24" s="2">
        <v>0</v>
      </c>
    </row>
    <row r="25" spans="1:6" x14ac:dyDescent="0.3">
      <c r="A25" s="246"/>
      <c r="B25" s="3">
        <v>4700.2</v>
      </c>
      <c r="C25" s="3">
        <v>390</v>
      </c>
      <c r="D25" s="3">
        <v>0</v>
      </c>
      <c r="E25" s="3">
        <v>0</v>
      </c>
      <c r="F25" s="3">
        <v>0</v>
      </c>
    </row>
    <row r="26" spans="1:6" x14ac:dyDescent="0.3">
      <c r="A26" s="246" t="s">
        <v>15</v>
      </c>
      <c r="B26" s="2">
        <v>29</v>
      </c>
      <c r="C26" s="2">
        <v>8</v>
      </c>
      <c r="D26" s="2">
        <v>0</v>
      </c>
      <c r="E26" s="2">
        <v>0</v>
      </c>
      <c r="F26" s="2">
        <v>0</v>
      </c>
    </row>
    <row r="27" spans="1:6" x14ac:dyDescent="0.3">
      <c r="A27" s="246"/>
      <c r="B27" s="3">
        <v>2964</v>
      </c>
      <c r="C27" s="3">
        <v>774</v>
      </c>
      <c r="D27" s="3">
        <v>0</v>
      </c>
      <c r="E27" s="3">
        <v>0</v>
      </c>
      <c r="F27" s="3">
        <v>0</v>
      </c>
    </row>
    <row r="28" spans="1:6" x14ac:dyDescent="0.3">
      <c r="A28" s="246" t="s">
        <v>16</v>
      </c>
      <c r="B28" s="2">
        <v>17</v>
      </c>
      <c r="C28" s="2">
        <v>1</v>
      </c>
      <c r="D28" s="2">
        <v>2</v>
      </c>
      <c r="E28" s="2">
        <v>0</v>
      </c>
      <c r="F28" s="2">
        <v>0</v>
      </c>
    </row>
    <row r="29" spans="1:6" x14ac:dyDescent="0.3">
      <c r="A29" s="246"/>
      <c r="B29" s="3">
        <v>1890</v>
      </c>
      <c r="C29" s="3">
        <v>120</v>
      </c>
      <c r="D29" s="3">
        <v>240</v>
      </c>
      <c r="E29" s="3">
        <v>0</v>
      </c>
      <c r="F29" s="3">
        <v>0</v>
      </c>
    </row>
    <row r="30" spans="1:6" x14ac:dyDescent="0.3">
      <c r="A30" s="246" t="s">
        <v>17</v>
      </c>
      <c r="B30" s="2">
        <v>55</v>
      </c>
      <c r="C30" s="2">
        <v>0</v>
      </c>
      <c r="D30" s="2">
        <v>6</v>
      </c>
      <c r="E30" s="2">
        <v>0</v>
      </c>
      <c r="F30" s="2">
        <v>0</v>
      </c>
    </row>
    <row r="31" spans="1:6" x14ac:dyDescent="0.3">
      <c r="A31" s="246"/>
      <c r="B31" s="3">
        <v>5520</v>
      </c>
      <c r="C31" s="3">
        <v>0</v>
      </c>
      <c r="D31" s="3">
        <v>540</v>
      </c>
      <c r="E31" s="3">
        <v>0</v>
      </c>
      <c r="F31" s="3">
        <v>0</v>
      </c>
    </row>
    <row r="32" spans="1:6" x14ac:dyDescent="0.3">
      <c r="A32" s="246" t="s">
        <v>19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246"/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3">
      <c r="A34" s="246" t="s">
        <v>20</v>
      </c>
      <c r="B34" s="2">
        <v>147</v>
      </c>
      <c r="C34" s="2">
        <v>3</v>
      </c>
      <c r="D34" s="2">
        <v>2</v>
      </c>
      <c r="E34" s="2">
        <v>0</v>
      </c>
      <c r="F34" s="2">
        <v>0</v>
      </c>
    </row>
    <row r="35" spans="1:6" x14ac:dyDescent="0.3">
      <c r="A35" s="246"/>
      <c r="B35" s="3">
        <v>13960</v>
      </c>
      <c r="C35" s="3">
        <v>270</v>
      </c>
      <c r="D35" s="3">
        <v>210</v>
      </c>
      <c r="E35" s="3">
        <v>0</v>
      </c>
      <c r="F35" s="3">
        <v>0</v>
      </c>
    </row>
    <row r="36" spans="1:6" x14ac:dyDescent="0.3">
      <c r="A36" s="246" t="s">
        <v>21</v>
      </c>
      <c r="B36" s="2">
        <v>37</v>
      </c>
      <c r="C36" s="2">
        <v>3</v>
      </c>
      <c r="D36" s="2">
        <v>0</v>
      </c>
      <c r="E36" s="2">
        <v>0</v>
      </c>
      <c r="F36" s="2">
        <v>0</v>
      </c>
    </row>
    <row r="37" spans="1:6" x14ac:dyDescent="0.3">
      <c r="A37" s="246"/>
      <c r="B37" s="3">
        <v>3476.1</v>
      </c>
      <c r="C37" s="3">
        <v>270</v>
      </c>
      <c r="D37" s="3">
        <v>0</v>
      </c>
      <c r="E37" s="3">
        <v>0</v>
      </c>
      <c r="F37" s="3">
        <v>0</v>
      </c>
    </row>
    <row r="38" spans="1:6" x14ac:dyDescent="0.3">
      <c r="A38" s="246" t="s">
        <v>23</v>
      </c>
      <c r="B38" s="2">
        <v>323</v>
      </c>
      <c r="C38" s="2">
        <v>11</v>
      </c>
      <c r="D38" s="2">
        <v>4</v>
      </c>
      <c r="E38" s="2">
        <v>0</v>
      </c>
      <c r="F38" s="2">
        <v>2</v>
      </c>
    </row>
    <row r="39" spans="1:6" x14ac:dyDescent="0.3">
      <c r="A39" s="246"/>
      <c r="B39" s="3">
        <v>34069.1</v>
      </c>
      <c r="C39" s="3">
        <v>1200</v>
      </c>
      <c r="D39" s="3">
        <v>450</v>
      </c>
      <c r="E39" s="3">
        <v>0</v>
      </c>
      <c r="F39" s="3">
        <v>222</v>
      </c>
    </row>
    <row r="40" spans="1:6" x14ac:dyDescent="0.3">
      <c r="A40" s="246" t="s">
        <v>24</v>
      </c>
      <c r="B40" s="2">
        <v>122</v>
      </c>
      <c r="C40" s="2">
        <v>9</v>
      </c>
      <c r="D40" s="2">
        <v>3</v>
      </c>
      <c r="E40" s="2">
        <v>0</v>
      </c>
      <c r="F40" s="2">
        <v>1</v>
      </c>
    </row>
    <row r="41" spans="1:6" x14ac:dyDescent="0.3">
      <c r="A41" s="246"/>
      <c r="B41" s="3">
        <v>12284</v>
      </c>
      <c r="C41" s="3">
        <v>942</v>
      </c>
      <c r="D41" s="3">
        <v>312</v>
      </c>
      <c r="E41" s="3">
        <v>0</v>
      </c>
      <c r="F41" s="3">
        <v>120</v>
      </c>
    </row>
    <row r="42" spans="1:6" x14ac:dyDescent="0.3">
      <c r="A42" s="246" t="s">
        <v>25</v>
      </c>
      <c r="B42" s="2">
        <v>57</v>
      </c>
      <c r="C42" s="2">
        <v>1</v>
      </c>
      <c r="D42" s="2">
        <v>3</v>
      </c>
      <c r="E42" s="2">
        <v>0</v>
      </c>
      <c r="F42" s="2">
        <v>0</v>
      </c>
    </row>
    <row r="43" spans="1:6" x14ac:dyDescent="0.3">
      <c r="A43" s="246"/>
      <c r="B43" s="3">
        <v>6326.1</v>
      </c>
      <c r="C43" s="3">
        <v>102</v>
      </c>
      <c r="D43" s="3">
        <v>300</v>
      </c>
      <c r="E43" s="3">
        <v>0</v>
      </c>
      <c r="F43" s="3">
        <v>0</v>
      </c>
    </row>
    <row r="44" spans="1:6" x14ac:dyDescent="0.3">
      <c r="A44" s="246" t="s">
        <v>26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46"/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3">
      <c r="A46" s="246" t="s">
        <v>27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46"/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3">
      <c r="A48" s="246" t="s">
        <v>28</v>
      </c>
      <c r="B48" s="2">
        <v>91</v>
      </c>
      <c r="C48" s="2">
        <v>3</v>
      </c>
      <c r="D48" s="2">
        <v>1</v>
      </c>
      <c r="E48" s="2">
        <v>1</v>
      </c>
      <c r="F48" s="2">
        <v>0</v>
      </c>
    </row>
    <row r="49" spans="1:6" x14ac:dyDescent="0.3">
      <c r="A49" s="246"/>
      <c r="B49" s="3">
        <v>9254.1</v>
      </c>
      <c r="C49" s="3">
        <v>300</v>
      </c>
      <c r="D49" s="3">
        <v>90</v>
      </c>
      <c r="E49" s="3">
        <v>90</v>
      </c>
      <c r="F49" s="3">
        <v>0</v>
      </c>
    </row>
    <row r="50" spans="1:6" x14ac:dyDescent="0.3">
      <c r="A50" s="246" t="s">
        <v>29</v>
      </c>
      <c r="B50" s="2">
        <v>335</v>
      </c>
      <c r="C50" s="2">
        <v>20</v>
      </c>
      <c r="D50" s="2">
        <v>2</v>
      </c>
      <c r="E50" s="2">
        <v>0</v>
      </c>
      <c r="F50" s="2">
        <v>0</v>
      </c>
    </row>
    <row r="51" spans="1:6" x14ac:dyDescent="0.3">
      <c r="A51" s="246"/>
      <c r="B51" s="3">
        <v>33192.5</v>
      </c>
      <c r="C51" s="3">
        <v>1837</v>
      </c>
      <c r="D51" s="3">
        <v>192.5</v>
      </c>
      <c r="E51" s="3">
        <v>0</v>
      </c>
      <c r="F51" s="3">
        <v>0</v>
      </c>
    </row>
    <row r="52" spans="1:6" x14ac:dyDescent="0.3">
      <c r="A52" s="246" t="s">
        <v>30</v>
      </c>
      <c r="B52" s="2">
        <v>15</v>
      </c>
      <c r="C52" s="2">
        <v>1</v>
      </c>
      <c r="D52" s="2">
        <v>0</v>
      </c>
      <c r="E52" s="2">
        <v>0</v>
      </c>
      <c r="F52" s="2">
        <v>0</v>
      </c>
    </row>
    <row r="53" spans="1:6" x14ac:dyDescent="0.3">
      <c r="A53" s="246"/>
      <c r="B53" s="3">
        <v>1602</v>
      </c>
      <c r="C53" s="3">
        <v>102</v>
      </c>
      <c r="D53" s="3">
        <v>0</v>
      </c>
      <c r="E53" s="3">
        <v>0</v>
      </c>
      <c r="F53" s="3">
        <v>0</v>
      </c>
    </row>
    <row r="54" spans="1:6" x14ac:dyDescent="0.3">
      <c r="A54" s="246" t="s">
        <v>31</v>
      </c>
      <c r="B54" s="2">
        <v>570</v>
      </c>
      <c r="C54" s="2">
        <v>46</v>
      </c>
      <c r="D54" s="2">
        <v>14</v>
      </c>
      <c r="E54" s="2">
        <v>0</v>
      </c>
      <c r="F54" s="2">
        <v>1</v>
      </c>
    </row>
    <row r="55" spans="1:6" x14ac:dyDescent="0.3">
      <c r="A55" s="246"/>
      <c r="B55" s="3">
        <v>58546</v>
      </c>
      <c r="C55" s="3">
        <v>4812</v>
      </c>
      <c r="D55" s="3">
        <v>1284</v>
      </c>
      <c r="E55" s="3">
        <v>0</v>
      </c>
      <c r="F55" s="3">
        <v>102</v>
      </c>
    </row>
    <row r="56" spans="1:6" x14ac:dyDescent="0.3">
      <c r="A56" s="246" t="s">
        <v>32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246"/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3">
      <c r="A58" s="7" t="s">
        <v>5</v>
      </c>
      <c r="B58" s="7" t="s">
        <v>1</v>
      </c>
      <c r="C58" s="7" t="s">
        <v>2</v>
      </c>
      <c r="D58" s="7" t="s">
        <v>3</v>
      </c>
      <c r="E58" s="7" t="s">
        <v>18</v>
      </c>
      <c r="F58" s="7" t="s">
        <v>22</v>
      </c>
    </row>
  </sheetData>
  <mergeCells count="28">
    <mergeCell ref="A12:A13"/>
    <mergeCell ref="A2:F2"/>
    <mergeCell ref="A4:A5"/>
    <mergeCell ref="A6:A7"/>
    <mergeCell ref="A8:A9"/>
    <mergeCell ref="A10:A11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7805B-EF45-4671-B766-467412C06E95}">
  <sheetPr>
    <tabColor theme="5" tint="0.59999389629810485"/>
  </sheetPr>
  <dimension ref="A1:Y37"/>
  <sheetViews>
    <sheetView showGridLines="0" workbookViewId="0">
      <selection activeCell="D9" sqref="D9"/>
    </sheetView>
  </sheetViews>
  <sheetFormatPr defaultColWidth="0" defaultRowHeight="14.4" zeroHeight="1" x14ac:dyDescent="0.3"/>
  <cols>
    <col min="1" max="1" width="2.6640625" customWidth="1"/>
    <col min="2" max="2" width="9.6640625" bestFit="1" customWidth="1"/>
    <col min="3" max="9" width="12.77734375" customWidth="1"/>
    <col min="10" max="16" width="12.6640625" customWidth="1"/>
    <col min="17" max="17" width="2.6640625" customWidth="1"/>
    <col min="18" max="25" width="0" hidden="1" customWidth="1"/>
    <col min="26" max="16384" width="8.88671875" hidden="1"/>
  </cols>
  <sheetData>
    <row r="1" spans="1:17" ht="18" x14ac:dyDescent="0.35">
      <c r="A1" s="245" t="s">
        <v>237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</row>
    <row r="2" spans="1:17" x14ac:dyDescent="0.3"/>
    <row r="3" spans="1:17" x14ac:dyDescent="0.3">
      <c r="B3" s="13" t="s">
        <v>52</v>
      </c>
      <c r="C3" s="235" t="s">
        <v>499</v>
      </c>
      <c r="D3" s="235" t="s">
        <v>500</v>
      </c>
      <c r="E3" s="235" t="s">
        <v>501</v>
      </c>
      <c r="F3" s="235" t="s">
        <v>502</v>
      </c>
      <c r="G3" s="235" t="s">
        <v>503</v>
      </c>
      <c r="H3" s="235" t="s">
        <v>504</v>
      </c>
      <c r="I3" s="235" t="s">
        <v>505</v>
      </c>
      <c r="J3" s="8" t="s">
        <v>506</v>
      </c>
      <c r="K3" s="235" t="s">
        <v>507</v>
      </c>
      <c r="L3" s="235" t="s">
        <v>508</v>
      </c>
      <c r="M3" s="235" t="s">
        <v>509</v>
      </c>
      <c r="N3" s="235" t="s">
        <v>510</v>
      </c>
      <c r="O3" s="235" t="s">
        <v>511</v>
      </c>
      <c r="P3" s="235" t="s">
        <v>512</v>
      </c>
    </row>
    <row r="4" spans="1:17" x14ac:dyDescent="0.3">
      <c r="B4" s="9" t="s">
        <v>0</v>
      </c>
      <c r="C4" s="319"/>
      <c r="D4" s="319"/>
      <c r="E4" s="319"/>
      <c r="F4" s="319"/>
      <c r="G4" s="319"/>
      <c r="H4" s="319"/>
      <c r="I4" s="319"/>
      <c r="J4" s="319"/>
      <c r="K4" s="318"/>
      <c r="L4" s="318"/>
      <c r="M4" s="318"/>
      <c r="N4" s="318"/>
      <c r="O4" s="318"/>
      <c r="P4" s="318"/>
    </row>
    <row r="5" spans="1:17" x14ac:dyDescent="0.3">
      <c r="B5" s="9" t="s">
        <v>4</v>
      </c>
      <c r="C5" s="319"/>
      <c r="D5" s="319">
        <f>PAF.14!C3</f>
        <v>856</v>
      </c>
      <c r="E5" s="319"/>
      <c r="F5" s="319"/>
      <c r="G5" s="319"/>
      <c r="H5" s="319"/>
      <c r="I5" s="319"/>
      <c r="J5" s="319"/>
      <c r="K5" s="318">
        <f>PAF.14!C4+PAF.14!C5</f>
        <v>20300</v>
      </c>
      <c r="L5" s="318">
        <f>PAF.15!C3+PAF.15!C4</f>
        <v>3640</v>
      </c>
      <c r="M5" s="318">
        <f>PAF.16!C4+PAF.16!C5</f>
        <v>684</v>
      </c>
      <c r="N5" s="318"/>
      <c r="O5" s="318"/>
      <c r="P5" s="318"/>
    </row>
    <row r="6" spans="1:17" x14ac:dyDescent="0.3">
      <c r="B6" s="9" t="s">
        <v>6</v>
      </c>
      <c r="C6" s="319"/>
      <c r="D6" s="319">
        <f>PAF.14!C7+PAF.14!C8</f>
        <v>2160</v>
      </c>
      <c r="E6" s="319"/>
      <c r="F6" s="319">
        <f>PAF.16!C9</f>
        <v>38.450000000000003</v>
      </c>
      <c r="G6" s="319"/>
      <c r="H6" s="319"/>
      <c r="I6" s="319"/>
      <c r="J6" s="319"/>
      <c r="K6" s="318">
        <f>PAF.14!C9+PAF.14!C10+PAF.14!C11</f>
        <v>1544</v>
      </c>
      <c r="L6" s="318">
        <f>PAF.15!C6</f>
        <v>4200</v>
      </c>
      <c r="M6" s="318">
        <f>PAF.16!C8</f>
        <v>1050</v>
      </c>
      <c r="N6" s="318"/>
      <c r="O6" s="318"/>
      <c r="P6" s="318"/>
    </row>
    <row r="7" spans="1:17" x14ac:dyDescent="0.3">
      <c r="B7" s="9" t="s">
        <v>7</v>
      </c>
      <c r="C7" s="319"/>
      <c r="D7" s="319">
        <f>PAF.14!C13</f>
        <v>200</v>
      </c>
      <c r="E7" s="319"/>
      <c r="F7" s="319"/>
      <c r="G7" s="319">
        <f>PAF.17!C5</f>
        <v>62.75</v>
      </c>
      <c r="H7" s="319"/>
      <c r="I7" s="319"/>
      <c r="J7" s="319"/>
      <c r="K7" s="318">
        <f>PAF.14!C14</f>
        <v>15620</v>
      </c>
      <c r="L7" s="318">
        <f>PAF.15!C8+PAF.15!C9</f>
        <v>33200</v>
      </c>
      <c r="M7" s="318">
        <f>PAF.16!C11+PAF.16!C12</f>
        <v>1029</v>
      </c>
      <c r="N7" s="318">
        <f>PAF.17!C3+PAF.17!C4</f>
        <v>10491.6</v>
      </c>
      <c r="O7" s="318"/>
      <c r="P7" s="318"/>
    </row>
    <row r="8" spans="1:17" x14ac:dyDescent="0.3">
      <c r="B8" s="9" t="s">
        <v>8</v>
      </c>
      <c r="C8" s="319"/>
      <c r="D8" s="319">
        <f>PAF.14!C16</f>
        <v>3000</v>
      </c>
      <c r="E8" s="319">
        <f>PAF.15!C11</f>
        <v>4400</v>
      </c>
      <c r="F8" s="319"/>
      <c r="G8" s="319"/>
      <c r="H8" s="319"/>
      <c r="I8" s="319"/>
      <c r="J8" s="319"/>
      <c r="K8" s="318"/>
      <c r="L8" s="318">
        <f>PAF.15!C12+PAF.15!C13</f>
        <v>28000</v>
      </c>
      <c r="M8" s="318"/>
      <c r="N8" s="318"/>
      <c r="O8" s="318"/>
      <c r="P8" s="318"/>
    </row>
    <row r="9" spans="1:17" x14ac:dyDescent="0.3">
      <c r="B9" s="9" t="s">
        <v>9</v>
      </c>
      <c r="C9" s="319"/>
      <c r="D9" s="319"/>
      <c r="E9" s="319"/>
      <c r="F9" s="319">
        <f>PAF.16!C14</f>
        <v>1650</v>
      </c>
      <c r="G9" s="319"/>
      <c r="H9" s="319"/>
      <c r="I9" s="319"/>
      <c r="J9" s="319"/>
      <c r="K9" s="318"/>
      <c r="L9" s="318"/>
      <c r="M9" s="318"/>
      <c r="N9" s="318">
        <f>PAF.17!C7+PAF.17!C8+PAF.17!C9+PAF.17!C10+PAF.17!C11+PAF.17!C12+PAF.17!C13+PAF.17!C14+PAF.17!C15+PAF.17!C16</f>
        <v>19738.030000000002</v>
      </c>
      <c r="O9" s="318"/>
      <c r="P9" s="318"/>
    </row>
    <row r="10" spans="1:17" x14ac:dyDescent="0.3">
      <c r="B10" s="9" t="s">
        <v>10</v>
      </c>
      <c r="C10" s="319"/>
      <c r="D10" s="319"/>
      <c r="E10" s="319"/>
      <c r="F10" s="319"/>
      <c r="G10" s="319">
        <f>PAF.17!C19</f>
        <v>36.450000000000003</v>
      </c>
      <c r="H10" s="319"/>
      <c r="I10" s="319"/>
      <c r="J10" s="319"/>
      <c r="K10" s="318"/>
      <c r="L10" s="318">
        <f>PAF.15!C15+PAF.15!C16+PAF.15!C17+PAF.15!C18+PAF.15!C19+PAF.15!C20</f>
        <v>21940</v>
      </c>
      <c r="M10" s="318">
        <f>PAF.16!C16+PAF.16!C17</f>
        <v>27122.5</v>
      </c>
      <c r="N10" s="318">
        <f>PAF.17!C18</f>
        <v>840</v>
      </c>
      <c r="O10" s="318"/>
      <c r="P10" s="318"/>
    </row>
    <row r="11" spans="1:17" x14ac:dyDescent="0.3">
      <c r="B11" s="9" t="s">
        <v>11</v>
      </c>
      <c r="C11" s="319"/>
      <c r="D11" s="319"/>
      <c r="E11" s="319"/>
      <c r="F11" s="319"/>
      <c r="G11" s="319">
        <f>PAF.17!C22</f>
        <v>36.450000000000003</v>
      </c>
      <c r="H11" s="319"/>
      <c r="I11" s="319"/>
      <c r="J11" s="319"/>
      <c r="K11" s="318"/>
      <c r="L11" s="318"/>
      <c r="M11" s="318"/>
      <c r="N11" s="318">
        <f>PAF.17!C21</f>
        <v>215</v>
      </c>
      <c r="O11" s="318"/>
      <c r="P11" s="318"/>
    </row>
    <row r="12" spans="1:17" x14ac:dyDescent="0.3">
      <c r="B12" s="9" t="s">
        <v>12</v>
      </c>
      <c r="C12" s="319"/>
      <c r="D12" s="319"/>
      <c r="E12" s="319"/>
      <c r="F12" s="319"/>
      <c r="G12" s="319"/>
      <c r="H12" s="319"/>
      <c r="I12" s="319"/>
      <c r="J12" s="319"/>
      <c r="K12" s="318"/>
      <c r="L12" s="318"/>
      <c r="M12" s="318"/>
      <c r="N12" s="318"/>
      <c r="O12" s="318"/>
      <c r="P12" s="318"/>
    </row>
    <row r="13" spans="1:17" x14ac:dyDescent="0.3">
      <c r="B13" s="9" t="s">
        <v>13</v>
      </c>
      <c r="C13" s="319"/>
      <c r="D13" s="319"/>
      <c r="E13" s="319"/>
      <c r="F13" s="319"/>
      <c r="G13" s="319"/>
      <c r="H13" s="319"/>
      <c r="I13" s="319"/>
      <c r="J13" s="319"/>
      <c r="K13" s="318"/>
      <c r="L13" s="318">
        <f>PAF.15!C22+PAF.15!C23</f>
        <v>2724</v>
      </c>
      <c r="M13" s="318"/>
      <c r="N13" s="318"/>
      <c r="O13" s="318"/>
      <c r="P13" s="318"/>
    </row>
    <row r="14" spans="1:17" x14ac:dyDescent="0.3">
      <c r="B14" s="9" t="s">
        <v>14</v>
      </c>
      <c r="C14" s="319"/>
      <c r="D14" s="319"/>
      <c r="E14" s="319"/>
      <c r="F14" s="319"/>
      <c r="G14" s="319"/>
      <c r="H14" s="319"/>
      <c r="I14" s="319"/>
      <c r="J14" s="319"/>
      <c r="K14" s="318"/>
      <c r="L14" s="318">
        <f>PAF.15!C25</f>
        <v>210</v>
      </c>
      <c r="M14" s="318">
        <f>PAF.16!C30+PAF.16!C31+PAF.16!C32+PAF.16!C33+PAF.16!C34+PAF.16!C35+PAF.16!C36+PAF.16!C37+PAF.16!C38+PAF.16!C39</f>
        <v>33014.589999999997</v>
      </c>
      <c r="N14" s="318"/>
      <c r="O14" s="318"/>
      <c r="P14" s="318"/>
    </row>
    <row r="15" spans="1:17" x14ac:dyDescent="0.3">
      <c r="B15" s="9" t="s">
        <v>15</v>
      </c>
      <c r="C15" s="319"/>
      <c r="D15" s="319"/>
      <c r="E15" s="319"/>
      <c r="F15" s="319"/>
      <c r="G15" s="319"/>
      <c r="H15" s="319"/>
      <c r="I15" s="319"/>
      <c r="J15" s="319"/>
      <c r="K15" s="318"/>
      <c r="L15" s="318">
        <f>PAF.15!C27+PAF.15!C28+PAF.15!C29</f>
        <v>2200</v>
      </c>
      <c r="M15" s="318"/>
      <c r="N15" s="318"/>
      <c r="O15" s="318"/>
      <c r="P15" s="318"/>
    </row>
    <row r="16" spans="1:17" x14ac:dyDescent="0.3">
      <c r="B16" s="9" t="s">
        <v>16</v>
      </c>
      <c r="C16" s="319"/>
      <c r="D16" s="319"/>
      <c r="E16" s="319"/>
      <c r="F16" s="319"/>
      <c r="G16" s="319"/>
      <c r="H16" s="319"/>
      <c r="I16" s="319"/>
      <c r="J16" s="319"/>
      <c r="K16" s="318"/>
      <c r="L16" s="318"/>
      <c r="M16" s="318">
        <f>PAF.16!C19+PAF.16!C20+PAF.16!C21+PAF.16!C22+PAF.16!C23+PAF.16!C24+PAF.16!C25+PAF.16!C26</f>
        <v>39587.93</v>
      </c>
      <c r="N16" s="318">
        <f>PAF.17!C24</f>
        <v>1260</v>
      </c>
      <c r="O16" s="318"/>
      <c r="P16" s="318"/>
    </row>
    <row r="17" spans="2:16" x14ac:dyDescent="0.3">
      <c r="B17" s="9" t="s">
        <v>17</v>
      </c>
      <c r="C17" s="319"/>
      <c r="D17" s="319"/>
      <c r="E17" s="319"/>
      <c r="F17" s="319"/>
      <c r="G17" s="319"/>
      <c r="H17" s="319"/>
      <c r="I17" s="319"/>
      <c r="J17" s="319"/>
      <c r="K17" s="318"/>
      <c r="L17" s="318"/>
      <c r="M17" s="318"/>
      <c r="N17" s="318">
        <f>PAF.17!C26+PAF.17!C27+PAF.17!C28+PAF.17!C29+PAF.17!C30+PAF.17!C31+PAF.17!C32</f>
        <v>41903.500000000007</v>
      </c>
      <c r="O17" s="318"/>
      <c r="P17" s="318"/>
    </row>
    <row r="18" spans="2:16" x14ac:dyDescent="0.3">
      <c r="B18" s="9" t="s">
        <v>19</v>
      </c>
      <c r="C18" s="319"/>
      <c r="D18" s="319"/>
      <c r="E18" s="319"/>
      <c r="F18" s="319"/>
      <c r="G18" s="319"/>
      <c r="H18" s="319"/>
      <c r="I18" s="319"/>
      <c r="J18" s="319"/>
      <c r="K18" s="318">
        <f>PAF.14!C28+PAF.14!C29</f>
        <v>9899</v>
      </c>
      <c r="L18" s="318">
        <f>PAF.15!C31</f>
        <v>9600</v>
      </c>
      <c r="M18" s="318"/>
      <c r="N18" s="318"/>
      <c r="O18" s="318"/>
      <c r="P18" s="318"/>
    </row>
    <row r="19" spans="2:16" x14ac:dyDescent="0.3">
      <c r="B19" s="9" t="s">
        <v>20</v>
      </c>
      <c r="C19" s="319"/>
      <c r="D19" s="319"/>
      <c r="E19" s="319"/>
      <c r="F19" s="319"/>
      <c r="G19" s="319"/>
      <c r="H19" s="319"/>
      <c r="I19" s="319"/>
      <c r="J19" s="319"/>
      <c r="K19" s="318">
        <f>PAF.14!C31+PAF.14!C32</f>
        <v>6500</v>
      </c>
      <c r="L19" s="318">
        <f>PAF.15!C33</f>
        <v>14500</v>
      </c>
      <c r="M19" s="318">
        <f>PAF.16!C28</f>
        <v>2100</v>
      </c>
      <c r="N19" s="318"/>
      <c r="O19" s="318"/>
      <c r="P19" s="318"/>
    </row>
    <row r="20" spans="2:16" x14ac:dyDescent="0.3">
      <c r="B20" s="9" t="s">
        <v>21</v>
      </c>
      <c r="C20" s="319"/>
      <c r="D20" s="319"/>
      <c r="E20" s="319"/>
      <c r="F20" s="319">
        <f>PAF.16!C43+PAF.16!C49</f>
        <v>93.06</v>
      </c>
      <c r="G20" s="319"/>
      <c r="H20" s="319"/>
      <c r="I20" s="319"/>
      <c r="J20" s="319"/>
      <c r="K20" s="318"/>
      <c r="L20" s="318"/>
      <c r="M20" s="318">
        <f>PAF.16!C41+PAF.16!C42+PAF.16!C44+PAF.16!C45+PAF.16!C46+PAF.16!C47+PAF.16!C48+PAF.16!C50+PAF.16!C51+PAF.16!C52+PAF.16!C53+PAF.16!C54+PAF.16!C55+PAF.16!C56+PAF.16!C57</f>
        <v>60333.21</v>
      </c>
      <c r="N20" s="318">
        <f>PAF.17!C34+PAF.17!C35+PAF.17!C36</f>
        <v>3075.25</v>
      </c>
      <c r="O20" s="318"/>
      <c r="P20" s="318"/>
    </row>
    <row r="21" spans="2:16" x14ac:dyDescent="0.3">
      <c r="B21" s="9" t="s">
        <v>23</v>
      </c>
      <c r="C21" s="319"/>
      <c r="D21" s="319">
        <f>PAF.14!C34+PAF.14!C35+PAF.14!C37</f>
        <v>8160</v>
      </c>
      <c r="E21" s="319">
        <f>PAF.15!C36</f>
        <v>1560</v>
      </c>
      <c r="F21" s="319"/>
      <c r="G21" s="319"/>
      <c r="H21" s="319"/>
      <c r="I21" s="319"/>
      <c r="J21" s="319"/>
      <c r="K21" s="318">
        <f>PAF.14!C36</f>
        <v>8000</v>
      </c>
      <c r="L21" s="318">
        <f>PAF.15!C35</f>
        <v>420</v>
      </c>
      <c r="M21" s="318">
        <f>PAF.16!C59</f>
        <v>3500</v>
      </c>
      <c r="N21" s="318"/>
      <c r="O21" s="318"/>
      <c r="P21" s="318"/>
    </row>
    <row r="22" spans="2:16" x14ac:dyDescent="0.3">
      <c r="B22" s="9" t="s">
        <v>24</v>
      </c>
      <c r="C22" s="319"/>
      <c r="D22" s="319">
        <f>PAF.14!C19</f>
        <v>1320</v>
      </c>
      <c r="E22" s="319">
        <f>PAF.15!C44</f>
        <v>1560</v>
      </c>
      <c r="F22" s="319">
        <f>PAF.16!C61</f>
        <v>1560</v>
      </c>
      <c r="G22" s="319"/>
      <c r="H22" s="319"/>
      <c r="I22" s="319"/>
      <c r="J22" s="319"/>
      <c r="K22" s="318">
        <f>PAF.14!C18</f>
        <v>700</v>
      </c>
      <c r="L22" s="318">
        <f>PAF.15!C38+PAF.15!C39+PAF.15!C40+PAF.15!C41+PAF.15!C42+PAF.15!C43</f>
        <v>12448</v>
      </c>
      <c r="M22" s="318">
        <f>SUM(PAF.16!C62:C74)</f>
        <v>47183.170000000006</v>
      </c>
      <c r="N22" s="318">
        <f>PAF.17!C38+PAF.17!C39+PAF.17!C40+PAF.17!C41+PAF.17!C42+PAF.17!C43+PAF.17!C44+PAF.17!C45+PAF.17!C46+PAF.17!C47+PAF.17!C48</f>
        <v>11392.599999999999</v>
      </c>
      <c r="O22" s="318">
        <f>PAF.18!C3</f>
        <v>60</v>
      </c>
      <c r="P22" s="318"/>
    </row>
    <row r="23" spans="2:16" x14ac:dyDescent="0.3">
      <c r="B23" s="9" t="s">
        <v>25</v>
      </c>
      <c r="C23" s="319"/>
      <c r="D23" s="319"/>
      <c r="E23" s="319">
        <f>PAF.15!C46</f>
        <v>16884.419999999998</v>
      </c>
      <c r="F23" s="319"/>
      <c r="G23" s="319"/>
      <c r="H23" s="319"/>
      <c r="I23" s="319"/>
      <c r="J23" s="319"/>
      <c r="K23" s="318"/>
      <c r="L23" s="318"/>
      <c r="M23" s="318"/>
      <c r="N23" s="318"/>
      <c r="O23" s="318"/>
      <c r="P23" s="318"/>
    </row>
    <row r="24" spans="2:16" x14ac:dyDescent="0.3">
      <c r="B24" s="9" t="s">
        <v>26</v>
      </c>
      <c r="C24" s="319"/>
      <c r="D24" s="319"/>
      <c r="E24" s="319"/>
      <c r="F24" s="319"/>
      <c r="G24" s="319"/>
      <c r="H24" s="319"/>
      <c r="I24" s="319"/>
      <c r="J24" s="319"/>
      <c r="K24" s="318"/>
      <c r="L24" s="318"/>
      <c r="M24" s="318"/>
      <c r="N24" s="318"/>
      <c r="O24" s="318"/>
      <c r="P24" s="318"/>
    </row>
    <row r="25" spans="2:16" x14ac:dyDescent="0.3">
      <c r="B25" s="9" t="s">
        <v>27</v>
      </c>
      <c r="C25" s="319"/>
      <c r="D25" s="319"/>
      <c r="E25" s="319"/>
      <c r="F25" s="319"/>
      <c r="G25" s="319"/>
      <c r="H25" s="319"/>
      <c r="I25" s="319"/>
      <c r="J25" s="319"/>
      <c r="K25" s="318"/>
      <c r="L25" s="318"/>
      <c r="M25" s="318"/>
      <c r="N25" s="318"/>
      <c r="O25" s="318"/>
      <c r="P25" s="318"/>
    </row>
    <row r="26" spans="2:16" x14ac:dyDescent="0.3">
      <c r="B26" s="9" t="s">
        <v>28</v>
      </c>
      <c r="C26" s="319"/>
      <c r="D26" s="319"/>
      <c r="E26" s="319"/>
      <c r="F26" s="319"/>
      <c r="G26" s="319"/>
      <c r="H26" s="319"/>
      <c r="I26" s="319"/>
      <c r="J26" s="319"/>
      <c r="K26" s="318"/>
      <c r="L26" s="318"/>
      <c r="M26" s="318">
        <f>PAF.16!C76+PAF.16!C77+PAF.16!C78+PAF.16!C79+PAF.16!C80+PAF.16!C81+PAF.16!C82+PAF.16!C83</f>
        <v>61269.180000000008</v>
      </c>
      <c r="N26" s="318"/>
      <c r="O26" s="318"/>
      <c r="P26" s="318"/>
    </row>
    <row r="27" spans="2:16" x14ac:dyDescent="0.3">
      <c r="B27" s="9" t="s">
        <v>29</v>
      </c>
      <c r="C27" s="319"/>
      <c r="D27" s="319">
        <f>PAF.14!C21</f>
        <v>4400</v>
      </c>
      <c r="E27" s="319">
        <f>PAF.15!C48</f>
        <v>1560</v>
      </c>
      <c r="F27" s="319">
        <f>PAF.16!C87</f>
        <v>137.04</v>
      </c>
      <c r="G27" s="319">
        <f>PAF.17!C51</f>
        <v>851.58</v>
      </c>
      <c r="H27" s="319"/>
      <c r="I27" s="319"/>
      <c r="J27" s="319"/>
      <c r="K27" s="318">
        <f>PAF.14!C22</f>
        <v>12000</v>
      </c>
      <c r="L27" s="318"/>
      <c r="M27" s="318">
        <f>PAF.16!C85+PAF.16!C86+PAF.16!C88+PAF.16!C89+PAF.16!C90+PAF.16!C91+PAF.16!C92+PAF.16!C93+PAF.16!C94+PAF.16!C95+PAF.16!C96</f>
        <v>71896.41</v>
      </c>
      <c r="N27" s="318">
        <f>PAF.17!C50</f>
        <v>18000</v>
      </c>
      <c r="O27" s="318"/>
      <c r="P27" s="318"/>
    </row>
    <row r="28" spans="2:16" x14ac:dyDescent="0.3">
      <c r="B28" s="9" t="s">
        <v>30</v>
      </c>
      <c r="C28" s="319"/>
      <c r="D28" s="319"/>
      <c r="E28" s="319"/>
      <c r="F28" s="319"/>
      <c r="G28" s="319"/>
      <c r="H28" s="319"/>
      <c r="I28" s="319"/>
      <c r="J28" s="319"/>
      <c r="K28" s="318">
        <f>PAF.14!C24</f>
        <v>9600</v>
      </c>
      <c r="L28" s="318">
        <f>PAF.15!C50</f>
        <v>210</v>
      </c>
      <c r="M28" s="318">
        <f>PAF.16!C98</f>
        <v>2256.6</v>
      </c>
      <c r="N28" s="318">
        <f>PAF.17!C53+PAF.17!C54+PAF.17!C55</f>
        <v>23537.360000000001</v>
      </c>
      <c r="O28" s="318"/>
      <c r="P28" s="318"/>
    </row>
    <row r="29" spans="2:16" x14ac:dyDescent="0.3">
      <c r="B29" s="9" t="s">
        <v>31</v>
      </c>
      <c r="C29" s="319"/>
      <c r="D29" s="319">
        <f>PAF.14!C26</f>
        <v>4800</v>
      </c>
      <c r="E29" s="319"/>
      <c r="F29" s="319"/>
      <c r="G29" s="319"/>
      <c r="H29" s="319"/>
      <c r="I29" s="319"/>
      <c r="J29" s="319"/>
      <c r="K29" s="318"/>
      <c r="L29" s="320">
        <f>PAF.15!C52</f>
        <v>210</v>
      </c>
      <c r="M29" s="318">
        <f>PAF.16!C100+PAF.16!C101</f>
        <v>2016</v>
      </c>
      <c r="N29" s="318"/>
      <c r="O29" s="318"/>
      <c r="P29" s="318"/>
    </row>
    <row r="30" spans="2:16" x14ac:dyDescent="0.3">
      <c r="B30" s="9" t="s">
        <v>32</v>
      </c>
      <c r="C30" s="319"/>
      <c r="D30" s="319"/>
      <c r="E30" s="319"/>
      <c r="F30" s="319"/>
      <c r="G30" s="319"/>
      <c r="H30" s="319"/>
      <c r="I30" s="319"/>
      <c r="J30" s="319"/>
      <c r="K30" s="318"/>
      <c r="L30" s="318"/>
      <c r="M30" s="318"/>
      <c r="N30" s="318"/>
      <c r="O30" s="318"/>
      <c r="P30" s="318"/>
    </row>
    <row r="31" spans="2:16" x14ac:dyDescent="0.3"/>
    <row r="32" spans="2:16" x14ac:dyDescent="0.3"/>
    <row r="33" x14ac:dyDescent="0.3"/>
    <row r="34" x14ac:dyDescent="0.3"/>
    <row r="35" x14ac:dyDescent="0.3"/>
    <row r="36" hidden="1" x14ac:dyDescent="0.3"/>
    <row r="37" hidden="1" x14ac:dyDescent="0.3"/>
  </sheetData>
  <mergeCells count="1">
    <mergeCell ref="A1:Q1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26CD2-5C5F-40DC-B564-4D6F239EA27A}">
  <sheetPr>
    <tabColor theme="5"/>
  </sheetPr>
  <dimension ref="A1:C37"/>
  <sheetViews>
    <sheetView workbookViewId="0">
      <selection activeCell="C26" sqref="C26"/>
    </sheetView>
  </sheetViews>
  <sheetFormatPr defaultRowHeight="14.4" x14ac:dyDescent="0.3"/>
  <cols>
    <col min="1" max="1" width="17.88671875" customWidth="1"/>
    <col min="2" max="2" width="62.88671875" customWidth="1"/>
    <col min="3" max="3" width="13.33203125" bestFit="1" customWidth="1"/>
  </cols>
  <sheetData>
    <row r="1" spans="1:3" s="5" customFormat="1" ht="17.399999999999999" x14ac:dyDescent="0.3">
      <c r="A1" s="252" t="s">
        <v>61</v>
      </c>
      <c r="B1" s="253"/>
      <c r="C1" s="253"/>
    </row>
    <row r="2" spans="1:3" s="5" customFormat="1" ht="15.6" x14ac:dyDescent="0.3">
      <c r="A2" s="14" t="s">
        <v>62</v>
      </c>
      <c r="B2" s="14" t="s">
        <v>63</v>
      </c>
      <c r="C2" s="15" t="s">
        <v>64</v>
      </c>
    </row>
    <row r="3" spans="1:3" x14ac:dyDescent="0.3">
      <c r="A3" s="254" t="s">
        <v>4</v>
      </c>
      <c r="B3" s="16" t="s">
        <v>65</v>
      </c>
      <c r="C3" s="17">
        <f>4*214</f>
        <v>856</v>
      </c>
    </row>
    <row r="4" spans="1:3" x14ac:dyDescent="0.3">
      <c r="A4" s="255"/>
      <c r="B4" s="18" t="s">
        <v>66</v>
      </c>
      <c r="C4" s="19">
        <f>1900*5</f>
        <v>9500</v>
      </c>
    </row>
    <row r="5" spans="1:3" x14ac:dyDescent="0.3">
      <c r="A5" s="256"/>
      <c r="B5" s="18" t="s">
        <v>67</v>
      </c>
      <c r="C5" s="19">
        <f>1200*9</f>
        <v>10800</v>
      </c>
    </row>
    <row r="6" spans="1:3" s="5" customFormat="1" ht="15.6" x14ac:dyDescent="0.3">
      <c r="A6" s="14" t="s">
        <v>62</v>
      </c>
      <c r="B6" s="14" t="s">
        <v>63</v>
      </c>
      <c r="C6" s="15" t="s">
        <v>64</v>
      </c>
    </row>
    <row r="7" spans="1:3" x14ac:dyDescent="0.3">
      <c r="A7" s="254" t="s">
        <v>6</v>
      </c>
      <c r="B7" s="18" t="s">
        <v>68</v>
      </c>
      <c r="C7" s="17">
        <v>660</v>
      </c>
    </row>
    <row r="8" spans="1:3" x14ac:dyDescent="0.3">
      <c r="A8" s="255"/>
      <c r="B8" s="16" t="s">
        <v>69</v>
      </c>
      <c r="C8" s="17">
        <v>1500</v>
      </c>
    </row>
    <row r="9" spans="1:3" x14ac:dyDescent="0.3">
      <c r="A9" s="255"/>
      <c r="B9" s="18" t="s">
        <v>70</v>
      </c>
      <c r="C9" s="19">
        <v>284.89999999999998</v>
      </c>
    </row>
    <row r="10" spans="1:3" x14ac:dyDescent="0.3">
      <c r="A10" s="255"/>
      <c r="B10" s="18" t="s">
        <v>71</v>
      </c>
      <c r="C10" s="19">
        <v>260.10000000000002</v>
      </c>
    </row>
    <row r="11" spans="1:3" x14ac:dyDescent="0.3">
      <c r="A11" s="256"/>
      <c r="B11" s="18" t="s">
        <v>72</v>
      </c>
      <c r="C11" s="19">
        <v>999</v>
      </c>
    </row>
    <row r="12" spans="1:3" s="5" customFormat="1" ht="15.6" x14ac:dyDescent="0.3">
      <c r="A12" s="14" t="s">
        <v>62</v>
      </c>
      <c r="B12" s="14" t="s">
        <v>63</v>
      </c>
      <c r="C12" s="15" t="s">
        <v>64</v>
      </c>
    </row>
    <row r="13" spans="1:3" x14ac:dyDescent="0.3">
      <c r="A13" s="254" t="s">
        <v>7</v>
      </c>
      <c r="B13" s="16" t="s">
        <v>73</v>
      </c>
      <c r="C13" s="17">
        <v>200</v>
      </c>
    </row>
    <row r="14" spans="1:3" x14ac:dyDescent="0.3">
      <c r="A14" s="256"/>
      <c r="B14" s="16" t="s">
        <v>74</v>
      </c>
      <c r="C14" s="17">
        <v>15620</v>
      </c>
    </row>
    <row r="15" spans="1:3" s="5" customFormat="1" ht="15.6" x14ac:dyDescent="0.3">
      <c r="A15" s="14" t="s">
        <v>62</v>
      </c>
      <c r="B15" s="14" t="s">
        <v>63</v>
      </c>
      <c r="C15" s="15" t="s">
        <v>64</v>
      </c>
    </row>
    <row r="16" spans="1:3" x14ac:dyDescent="0.3">
      <c r="A16" s="16" t="s">
        <v>8</v>
      </c>
      <c r="B16" s="16" t="s">
        <v>75</v>
      </c>
      <c r="C16" s="17">
        <v>3000</v>
      </c>
    </row>
    <row r="17" spans="1:3" s="5" customFormat="1" ht="15.6" x14ac:dyDescent="0.3">
      <c r="A17" s="14" t="s">
        <v>62</v>
      </c>
      <c r="B17" s="14" t="s">
        <v>63</v>
      </c>
      <c r="C17" s="15" t="s">
        <v>64</v>
      </c>
    </row>
    <row r="18" spans="1:3" x14ac:dyDescent="0.3">
      <c r="A18" s="254" t="s">
        <v>24</v>
      </c>
      <c r="B18" s="16" t="s">
        <v>76</v>
      </c>
      <c r="C18" s="17">
        <v>700</v>
      </c>
    </row>
    <row r="19" spans="1:3" x14ac:dyDescent="0.3">
      <c r="A19" s="256"/>
      <c r="B19" s="16" t="s">
        <v>77</v>
      </c>
      <c r="C19" s="17">
        <v>1320</v>
      </c>
    </row>
    <row r="20" spans="1:3" s="5" customFormat="1" ht="15.6" x14ac:dyDescent="0.3">
      <c r="A20" s="14" t="s">
        <v>62</v>
      </c>
      <c r="B20" s="14" t="s">
        <v>63</v>
      </c>
      <c r="C20" s="15" t="s">
        <v>64</v>
      </c>
    </row>
    <row r="21" spans="1:3" x14ac:dyDescent="0.3">
      <c r="A21" s="254" t="s">
        <v>29</v>
      </c>
      <c r="B21" s="16" t="s">
        <v>78</v>
      </c>
      <c r="C21" s="17">
        <v>4400</v>
      </c>
    </row>
    <row r="22" spans="1:3" x14ac:dyDescent="0.3">
      <c r="A22" s="256"/>
      <c r="B22" s="18" t="s">
        <v>79</v>
      </c>
      <c r="C22" s="19">
        <v>12000</v>
      </c>
    </row>
    <row r="23" spans="1:3" s="5" customFormat="1" ht="15.6" x14ac:dyDescent="0.3">
      <c r="A23" s="14" t="s">
        <v>62</v>
      </c>
      <c r="B23" s="14" t="s">
        <v>63</v>
      </c>
      <c r="C23" s="15" t="s">
        <v>64</v>
      </c>
    </row>
    <row r="24" spans="1:3" x14ac:dyDescent="0.3">
      <c r="A24" s="20" t="s">
        <v>30</v>
      </c>
      <c r="B24" s="21" t="s">
        <v>80</v>
      </c>
      <c r="C24" s="22">
        <v>9600</v>
      </c>
    </row>
    <row r="25" spans="1:3" s="5" customFormat="1" ht="15.6" x14ac:dyDescent="0.3">
      <c r="A25" s="14" t="s">
        <v>62</v>
      </c>
      <c r="B25" s="14" t="s">
        <v>63</v>
      </c>
      <c r="C25" s="15" t="s">
        <v>64</v>
      </c>
    </row>
    <row r="26" spans="1:3" x14ac:dyDescent="0.3">
      <c r="A26" s="16" t="s">
        <v>31</v>
      </c>
      <c r="B26" s="18" t="s">
        <v>81</v>
      </c>
      <c r="C26" s="17">
        <v>4800</v>
      </c>
    </row>
    <row r="27" spans="1:3" s="5" customFormat="1" ht="15.6" x14ac:dyDescent="0.3">
      <c r="A27" s="14" t="s">
        <v>62</v>
      </c>
      <c r="B27" s="14" t="s">
        <v>63</v>
      </c>
      <c r="C27" s="15" t="s">
        <v>64</v>
      </c>
    </row>
    <row r="28" spans="1:3" x14ac:dyDescent="0.3">
      <c r="A28" s="248" t="s">
        <v>19</v>
      </c>
      <c r="B28" s="18" t="s">
        <v>82</v>
      </c>
      <c r="C28" s="19">
        <f>1200*8</f>
        <v>9600</v>
      </c>
    </row>
    <row r="29" spans="1:3" x14ac:dyDescent="0.3">
      <c r="A29" s="249"/>
      <c r="B29" s="18" t="s">
        <v>83</v>
      </c>
      <c r="C29" s="19">
        <v>299</v>
      </c>
    </row>
    <row r="30" spans="1:3" s="5" customFormat="1" ht="15.6" x14ac:dyDescent="0.3">
      <c r="A30" s="14" t="s">
        <v>62</v>
      </c>
      <c r="B30" s="14" t="s">
        <v>63</v>
      </c>
      <c r="C30" s="15" t="s">
        <v>64</v>
      </c>
    </row>
    <row r="31" spans="1:3" x14ac:dyDescent="0.3">
      <c r="A31" s="250" t="s">
        <v>20</v>
      </c>
      <c r="B31" s="18" t="s">
        <v>84</v>
      </c>
      <c r="C31" s="19">
        <f>800*4</f>
        <v>3200</v>
      </c>
    </row>
    <row r="32" spans="1:3" x14ac:dyDescent="0.3">
      <c r="A32" s="250"/>
      <c r="B32" s="18" t="s">
        <v>85</v>
      </c>
      <c r="C32" s="19">
        <f>1100*3</f>
        <v>3300</v>
      </c>
    </row>
    <row r="33" spans="1:3" s="5" customFormat="1" ht="15.6" x14ac:dyDescent="0.3">
      <c r="A33" s="14" t="s">
        <v>62</v>
      </c>
      <c r="B33" s="14" t="s">
        <v>63</v>
      </c>
      <c r="C33" s="15" t="s">
        <v>64</v>
      </c>
    </row>
    <row r="34" spans="1:3" x14ac:dyDescent="0.3">
      <c r="A34" s="248" t="s">
        <v>23</v>
      </c>
      <c r="B34" s="16" t="s">
        <v>86</v>
      </c>
      <c r="C34" s="17">
        <v>3600</v>
      </c>
    </row>
    <row r="35" spans="1:3" x14ac:dyDescent="0.3">
      <c r="A35" s="251"/>
      <c r="B35" s="18" t="s">
        <v>87</v>
      </c>
      <c r="C35" s="17">
        <v>600</v>
      </c>
    </row>
    <row r="36" spans="1:3" x14ac:dyDescent="0.3">
      <c r="A36" s="251"/>
      <c r="B36" s="18" t="s">
        <v>88</v>
      </c>
      <c r="C36" s="19">
        <v>8000</v>
      </c>
    </row>
    <row r="37" spans="1:3" x14ac:dyDescent="0.3">
      <c r="A37" s="249"/>
      <c r="B37" s="16" t="s">
        <v>89</v>
      </c>
      <c r="C37" s="17">
        <f>360*11</f>
        <v>3960</v>
      </c>
    </row>
  </sheetData>
  <mergeCells count="9">
    <mergeCell ref="A28:A29"/>
    <mergeCell ref="A31:A32"/>
    <mergeCell ref="A34:A37"/>
    <mergeCell ref="A1:C1"/>
    <mergeCell ref="A3:A5"/>
    <mergeCell ref="A7:A11"/>
    <mergeCell ref="A13:A14"/>
    <mergeCell ref="A18:A19"/>
    <mergeCell ref="A21:A2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649A-795C-4529-9193-8AF2A50F666A}">
  <sheetPr>
    <tabColor theme="5"/>
  </sheetPr>
  <dimension ref="A1:D53"/>
  <sheetViews>
    <sheetView topLeftCell="A34" workbookViewId="0">
      <selection activeCell="D52" sqref="D52"/>
    </sheetView>
  </sheetViews>
  <sheetFormatPr defaultColWidth="9.109375" defaultRowHeight="14.4" x14ac:dyDescent="0.3"/>
  <cols>
    <col min="1" max="1" width="52.6640625" style="5" bestFit="1" customWidth="1"/>
    <col min="2" max="2" width="59.6640625" style="5" customWidth="1"/>
    <col min="3" max="3" width="17" style="64" customWidth="1"/>
    <col min="4" max="4" width="58.88671875" style="5" customWidth="1"/>
    <col min="5" max="5" width="11.6640625" style="5" bestFit="1" customWidth="1"/>
    <col min="6" max="16384" width="9.109375" style="5"/>
  </cols>
  <sheetData>
    <row r="1" spans="1:4" ht="17.399999999999999" x14ac:dyDescent="0.3">
      <c r="A1" s="252" t="s">
        <v>90</v>
      </c>
      <c r="B1" s="253"/>
      <c r="C1" s="253"/>
      <c r="D1" s="257"/>
    </row>
    <row r="2" spans="1:4" ht="16.2" thickBot="1" x14ac:dyDescent="0.35">
      <c r="A2" s="23" t="s">
        <v>62</v>
      </c>
      <c r="B2" s="14" t="s">
        <v>63</v>
      </c>
      <c r="C2" s="15" t="s">
        <v>64</v>
      </c>
      <c r="D2" s="24" t="s">
        <v>91</v>
      </c>
    </row>
    <row r="3" spans="1:4" x14ac:dyDescent="0.3">
      <c r="A3" s="258" t="s">
        <v>4</v>
      </c>
      <c r="B3" s="25" t="s">
        <v>92</v>
      </c>
      <c r="C3" s="26">
        <f>300*8</f>
        <v>2400</v>
      </c>
      <c r="D3" s="27" t="s">
        <v>93</v>
      </c>
    </row>
    <row r="4" spans="1:4" ht="29.4" thickBot="1" x14ac:dyDescent="0.35">
      <c r="A4" s="259"/>
      <c r="B4" s="28" t="s">
        <v>94</v>
      </c>
      <c r="C4" s="29">
        <f>4*310</f>
        <v>1240</v>
      </c>
      <c r="D4" s="30" t="s">
        <v>95</v>
      </c>
    </row>
    <row r="5" spans="1:4" ht="16.2" thickBot="1" x14ac:dyDescent="0.35">
      <c r="A5" s="31" t="s">
        <v>62</v>
      </c>
      <c r="B5" s="32" t="s">
        <v>63</v>
      </c>
      <c r="C5" s="33" t="s">
        <v>64</v>
      </c>
      <c r="D5" s="34" t="s">
        <v>91</v>
      </c>
    </row>
    <row r="6" spans="1:4" x14ac:dyDescent="0.3">
      <c r="A6" s="35" t="s">
        <v>6</v>
      </c>
      <c r="B6" s="36" t="s">
        <v>96</v>
      </c>
      <c r="C6" s="37">
        <f>35*120</f>
        <v>4200</v>
      </c>
      <c r="D6" s="38" t="s">
        <v>97</v>
      </c>
    </row>
    <row r="7" spans="1:4" ht="16.2" thickBot="1" x14ac:dyDescent="0.35">
      <c r="A7" s="23" t="s">
        <v>62</v>
      </c>
      <c r="B7" s="14" t="s">
        <v>63</v>
      </c>
      <c r="C7" s="15" t="s">
        <v>64</v>
      </c>
      <c r="D7" s="24" t="s">
        <v>91</v>
      </c>
    </row>
    <row r="8" spans="1:4" x14ac:dyDescent="0.3">
      <c r="A8" s="260" t="s">
        <v>7</v>
      </c>
      <c r="B8" s="39" t="s">
        <v>98</v>
      </c>
      <c r="C8" s="40">
        <v>18000</v>
      </c>
      <c r="D8" s="41" t="s">
        <v>99</v>
      </c>
    </row>
    <row r="9" spans="1:4" ht="15" thickBot="1" x14ac:dyDescent="0.35">
      <c r="A9" s="261"/>
      <c r="B9" s="42" t="s">
        <v>100</v>
      </c>
      <c r="C9" s="43">
        <f>1900*8</f>
        <v>15200</v>
      </c>
      <c r="D9" s="44" t="s">
        <v>99</v>
      </c>
    </row>
    <row r="10" spans="1:4" ht="16.2" thickBot="1" x14ac:dyDescent="0.35">
      <c r="A10" s="23" t="s">
        <v>62</v>
      </c>
      <c r="B10" s="14" t="s">
        <v>63</v>
      </c>
      <c r="C10" s="15" t="s">
        <v>64</v>
      </c>
      <c r="D10" s="24" t="s">
        <v>91</v>
      </c>
    </row>
    <row r="11" spans="1:4" x14ac:dyDescent="0.3">
      <c r="A11" s="258" t="s">
        <v>8</v>
      </c>
      <c r="B11" s="25" t="s">
        <v>101</v>
      </c>
      <c r="C11" s="26">
        <v>4400</v>
      </c>
      <c r="D11" s="41" t="s">
        <v>99</v>
      </c>
    </row>
    <row r="12" spans="1:4" x14ac:dyDescent="0.3">
      <c r="A12" s="262"/>
      <c r="B12" s="45" t="s">
        <v>102</v>
      </c>
      <c r="C12" s="46">
        <f>3190*8</f>
        <v>25520</v>
      </c>
      <c r="D12" s="47" t="s">
        <v>99</v>
      </c>
    </row>
    <row r="13" spans="1:4" ht="15" thickBot="1" x14ac:dyDescent="0.35">
      <c r="A13" s="259"/>
      <c r="B13" s="42" t="s">
        <v>103</v>
      </c>
      <c r="C13" s="43">
        <f>310*8</f>
        <v>2480</v>
      </c>
      <c r="D13" s="44" t="s">
        <v>99</v>
      </c>
    </row>
    <row r="14" spans="1:4" ht="16.2" thickBot="1" x14ac:dyDescent="0.35">
      <c r="A14" s="23" t="s">
        <v>62</v>
      </c>
      <c r="B14" s="14" t="s">
        <v>63</v>
      </c>
      <c r="C14" s="15" t="s">
        <v>64</v>
      </c>
      <c r="D14" s="24" t="s">
        <v>91</v>
      </c>
    </row>
    <row r="15" spans="1:4" x14ac:dyDescent="0.3">
      <c r="A15" s="258" t="s">
        <v>10</v>
      </c>
      <c r="B15" s="25" t="s">
        <v>104</v>
      </c>
      <c r="C15" s="26">
        <f>30*24</f>
        <v>720</v>
      </c>
      <c r="D15" s="27" t="s">
        <v>105</v>
      </c>
    </row>
    <row r="16" spans="1:4" x14ac:dyDescent="0.3">
      <c r="A16" s="262"/>
      <c r="B16" s="18" t="s">
        <v>106</v>
      </c>
      <c r="C16" s="48">
        <f>12*35</f>
        <v>420</v>
      </c>
      <c r="D16" s="49" t="s">
        <v>97</v>
      </c>
    </row>
    <row r="17" spans="1:4" ht="30" customHeight="1" x14ac:dyDescent="0.3">
      <c r="A17" s="262"/>
      <c r="B17" s="45" t="s">
        <v>102</v>
      </c>
      <c r="C17" s="46">
        <v>15200</v>
      </c>
      <c r="D17" s="263" t="s">
        <v>107</v>
      </c>
    </row>
    <row r="18" spans="1:4" x14ac:dyDescent="0.3">
      <c r="A18" s="262"/>
      <c r="B18" s="45" t="s">
        <v>108</v>
      </c>
      <c r="C18" s="46">
        <v>1600</v>
      </c>
      <c r="D18" s="264"/>
    </row>
    <row r="19" spans="1:4" x14ac:dyDescent="0.3">
      <c r="A19" s="262"/>
      <c r="B19" s="45" t="s">
        <v>109</v>
      </c>
      <c r="C19" s="46">
        <v>1600</v>
      </c>
      <c r="D19" s="264"/>
    </row>
    <row r="20" spans="1:4" ht="15" thickBot="1" x14ac:dyDescent="0.35">
      <c r="A20" s="259"/>
      <c r="B20" s="42" t="s">
        <v>110</v>
      </c>
      <c r="C20" s="43">
        <v>2400</v>
      </c>
      <c r="D20" s="265"/>
    </row>
    <row r="21" spans="1:4" ht="16.2" thickBot="1" x14ac:dyDescent="0.35">
      <c r="A21" s="23" t="s">
        <v>62</v>
      </c>
      <c r="B21" s="14" t="s">
        <v>63</v>
      </c>
      <c r="C21" s="15" t="s">
        <v>64</v>
      </c>
      <c r="D21" s="24" t="s">
        <v>91</v>
      </c>
    </row>
    <row r="22" spans="1:4" x14ac:dyDescent="0.3">
      <c r="A22" s="258" t="s">
        <v>13</v>
      </c>
      <c r="B22" s="25" t="s">
        <v>111</v>
      </c>
      <c r="C22" s="26">
        <f>768*3</f>
        <v>2304</v>
      </c>
      <c r="D22" s="41" t="s">
        <v>99</v>
      </c>
    </row>
    <row r="23" spans="1:4" ht="15" thickBot="1" x14ac:dyDescent="0.35">
      <c r="A23" s="259"/>
      <c r="B23" s="28" t="s">
        <v>112</v>
      </c>
      <c r="C23" s="29">
        <v>420</v>
      </c>
      <c r="D23" s="30" t="s">
        <v>113</v>
      </c>
    </row>
    <row r="24" spans="1:4" ht="16.2" thickBot="1" x14ac:dyDescent="0.35">
      <c r="A24" s="23" t="s">
        <v>62</v>
      </c>
      <c r="B24" s="14" t="s">
        <v>63</v>
      </c>
      <c r="C24" s="15" t="s">
        <v>64</v>
      </c>
      <c r="D24" s="24" t="s">
        <v>91</v>
      </c>
    </row>
    <row r="25" spans="1:4" ht="15" thickBot="1" x14ac:dyDescent="0.35">
      <c r="A25" s="50" t="s">
        <v>14</v>
      </c>
      <c r="B25" s="51" t="s">
        <v>114</v>
      </c>
      <c r="C25" s="52">
        <f>6*35</f>
        <v>210</v>
      </c>
      <c r="D25" s="53" t="s">
        <v>115</v>
      </c>
    </row>
    <row r="26" spans="1:4" ht="16.2" thickBot="1" x14ac:dyDescent="0.35">
      <c r="A26" s="31" t="s">
        <v>62</v>
      </c>
      <c r="B26" s="32" t="s">
        <v>63</v>
      </c>
      <c r="C26" s="33" t="s">
        <v>64</v>
      </c>
      <c r="D26" s="34" t="s">
        <v>91</v>
      </c>
    </row>
    <row r="27" spans="1:4" x14ac:dyDescent="0.3">
      <c r="A27" s="266" t="s">
        <v>15</v>
      </c>
      <c r="B27" s="54" t="s">
        <v>116</v>
      </c>
      <c r="C27" s="55">
        <v>1900</v>
      </c>
      <c r="D27" s="56" t="s">
        <v>99</v>
      </c>
    </row>
    <row r="28" spans="1:4" x14ac:dyDescent="0.3">
      <c r="A28" s="267"/>
      <c r="B28" s="45" t="s">
        <v>117</v>
      </c>
      <c r="C28" s="46">
        <v>200</v>
      </c>
      <c r="D28" s="47" t="s">
        <v>99</v>
      </c>
    </row>
    <row r="29" spans="1:4" ht="15" thickBot="1" x14ac:dyDescent="0.35">
      <c r="A29" s="261"/>
      <c r="B29" s="42" t="s">
        <v>118</v>
      </c>
      <c r="C29" s="43">
        <v>100</v>
      </c>
      <c r="D29" s="44" t="s">
        <v>99</v>
      </c>
    </row>
    <row r="30" spans="1:4" ht="16.2" thickBot="1" x14ac:dyDescent="0.35">
      <c r="A30" s="23" t="s">
        <v>62</v>
      </c>
      <c r="B30" s="14" t="s">
        <v>63</v>
      </c>
      <c r="C30" s="15" t="s">
        <v>64</v>
      </c>
      <c r="D30" s="24" t="s">
        <v>91</v>
      </c>
    </row>
    <row r="31" spans="1:4" ht="15" thickBot="1" x14ac:dyDescent="0.35">
      <c r="A31" s="50" t="s">
        <v>19</v>
      </c>
      <c r="B31" s="51" t="s">
        <v>119</v>
      </c>
      <c r="C31" s="52">
        <v>9600</v>
      </c>
      <c r="D31" s="57" t="s">
        <v>99</v>
      </c>
    </row>
    <row r="32" spans="1:4" ht="16.2" thickBot="1" x14ac:dyDescent="0.35">
      <c r="A32" s="23" t="s">
        <v>62</v>
      </c>
      <c r="B32" s="14" t="s">
        <v>63</v>
      </c>
      <c r="C32" s="15" t="s">
        <v>64</v>
      </c>
      <c r="D32" s="24" t="s">
        <v>91</v>
      </c>
    </row>
    <row r="33" spans="1:4" ht="15" thickBot="1" x14ac:dyDescent="0.35">
      <c r="A33" s="50" t="s">
        <v>20</v>
      </c>
      <c r="B33" s="51" t="s">
        <v>120</v>
      </c>
      <c r="C33" s="52">
        <v>14500</v>
      </c>
      <c r="D33" s="53" t="s">
        <v>121</v>
      </c>
    </row>
    <row r="34" spans="1:4" ht="16.2" thickBot="1" x14ac:dyDescent="0.35">
      <c r="A34" s="23" t="s">
        <v>62</v>
      </c>
      <c r="B34" s="14" t="s">
        <v>63</v>
      </c>
      <c r="C34" s="15" t="s">
        <v>64</v>
      </c>
      <c r="D34" s="24" t="s">
        <v>91</v>
      </c>
    </row>
    <row r="35" spans="1:4" x14ac:dyDescent="0.3">
      <c r="A35" s="268" t="s">
        <v>23</v>
      </c>
      <c r="B35" s="25" t="s">
        <v>122</v>
      </c>
      <c r="C35" s="26">
        <v>420</v>
      </c>
      <c r="D35" s="27" t="s">
        <v>123</v>
      </c>
    </row>
    <row r="36" spans="1:4" ht="15" thickBot="1" x14ac:dyDescent="0.35">
      <c r="A36" s="269"/>
      <c r="B36" s="28" t="s">
        <v>124</v>
      </c>
      <c r="C36" s="29">
        <v>1560</v>
      </c>
      <c r="D36" s="44" t="s">
        <v>99</v>
      </c>
    </row>
    <row r="37" spans="1:4" ht="16.2" thickBot="1" x14ac:dyDescent="0.35">
      <c r="A37" s="23" t="s">
        <v>62</v>
      </c>
      <c r="B37" s="14" t="s">
        <v>63</v>
      </c>
      <c r="C37" s="15" t="s">
        <v>64</v>
      </c>
      <c r="D37" s="24" t="s">
        <v>91</v>
      </c>
    </row>
    <row r="38" spans="1:4" ht="28.8" x14ac:dyDescent="0.3">
      <c r="A38" s="258" t="s">
        <v>24</v>
      </c>
      <c r="B38" s="25" t="s">
        <v>125</v>
      </c>
      <c r="C38" s="26">
        <f>(12*25)+(12*39)</f>
        <v>768</v>
      </c>
      <c r="D38" s="27" t="s">
        <v>126</v>
      </c>
    </row>
    <row r="39" spans="1:4" x14ac:dyDescent="0.3">
      <c r="A39" s="262"/>
      <c r="B39" s="18" t="s">
        <v>127</v>
      </c>
      <c r="C39" s="48">
        <f>35*24</f>
        <v>840</v>
      </c>
      <c r="D39" s="49" t="s">
        <v>97</v>
      </c>
    </row>
    <row r="40" spans="1:4" x14ac:dyDescent="0.3">
      <c r="A40" s="262"/>
      <c r="B40" s="45" t="s">
        <v>128</v>
      </c>
      <c r="C40" s="46">
        <v>3000</v>
      </c>
      <c r="D40" s="263" t="s">
        <v>129</v>
      </c>
    </row>
    <row r="41" spans="1:4" x14ac:dyDescent="0.3">
      <c r="A41" s="262"/>
      <c r="B41" s="45" t="s">
        <v>130</v>
      </c>
      <c r="C41" s="46">
        <v>5000</v>
      </c>
      <c r="D41" s="264"/>
    </row>
    <row r="42" spans="1:4" x14ac:dyDescent="0.3">
      <c r="A42" s="262"/>
      <c r="B42" s="45" t="s">
        <v>131</v>
      </c>
      <c r="C42" s="46">
        <v>2000</v>
      </c>
      <c r="D42" s="270"/>
    </row>
    <row r="43" spans="1:4" x14ac:dyDescent="0.3">
      <c r="A43" s="262"/>
      <c r="B43" s="18" t="s">
        <v>132</v>
      </c>
      <c r="C43" s="48">
        <f>35*24</f>
        <v>840</v>
      </c>
      <c r="D43" s="49" t="s">
        <v>133</v>
      </c>
    </row>
    <row r="44" spans="1:4" ht="15" thickBot="1" x14ac:dyDescent="0.35">
      <c r="A44" s="259"/>
      <c r="B44" s="28" t="s">
        <v>124</v>
      </c>
      <c r="C44" s="58">
        <v>1560</v>
      </c>
      <c r="D44" s="44" t="s">
        <v>99</v>
      </c>
    </row>
    <row r="45" spans="1:4" ht="16.2" thickBot="1" x14ac:dyDescent="0.35">
      <c r="A45" s="23" t="s">
        <v>62</v>
      </c>
      <c r="B45" s="14" t="s">
        <v>63</v>
      </c>
      <c r="C45" s="15" t="s">
        <v>64</v>
      </c>
      <c r="D45" s="24" t="s">
        <v>91</v>
      </c>
    </row>
    <row r="46" spans="1:4" x14ac:dyDescent="0.3">
      <c r="A46" s="59" t="s">
        <v>25</v>
      </c>
      <c r="B46" s="25" t="s">
        <v>134</v>
      </c>
      <c r="C46" s="26">
        <v>16884.419999999998</v>
      </c>
      <c r="D46" s="41" t="s">
        <v>99</v>
      </c>
    </row>
    <row r="47" spans="1:4" ht="15.6" x14ac:dyDescent="0.3">
      <c r="A47" s="23" t="s">
        <v>62</v>
      </c>
      <c r="B47" s="14" t="s">
        <v>63</v>
      </c>
      <c r="C47" s="15" t="s">
        <v>64</v>
      </c>
      <c r="D47" s="24" t="s">
        <v>91</v>
      </c>
    </row>
    <row r="48" spans="1:4" x14ac:dyDescent="0.3">
      <c r="A48" s="60" t="s">
        <v>29</v>
      </c>
      <c r="B48" s="18" t="s">
        <v>124</v>
      </c>
      <c r="C48" s="61">
        <v>1560</v>
      </c>
      <c r="D48" s="47" t="s">
        <v>99</v>
      </c>
    </row>
    <row r="49" spans="1:4" ht="15.6" x14ac:dyDescent="0.3">
      <c r="A49" s="23" t="s">
        <v>62</v>
      </c>
      <c r="B49" s="14" t="s">
        <v>63</v>
      </c>
      <c r="C49" s="15" t="s">
        <v>64</v>
      </c>
      <c r="D49" s="24" t="s">
        <v>91</v>
      </c>
    </row>
    <row r="50" spans="1:4" ht="15" thickBot="1" x14ac:dyDescent="0.35">
      <c r="A50" s="62" t="s">
        <v>30</v>
      </c>
      <c r="B50" s="28" t="s">
        <v>135</v>
      </c>
      <c r="C50" s="29">
        <v>210</v>
      </c>
      <c r="D50" s="30" t="s">
        <v>136</v>
      </c>
    </row>
    <row r="51" spans="1:4" ht="16.2" thickBot="1" x14ac:dyDescent="0.35">
      <c r="A51" s="23" t="s">
        <v>62</v>
      </c>
      <c r="B51" s="14" t="s">
        <v>63</v>
      </c>
      <c r="C51" s="15" t="s">
        <v>64</v>
      </c>
      <c r="D51" s="24" t="s">
        <v>91</v>
      </c>
    </row>
    <row r="52" spans="1:4" ht="45" customHeight="1" thickBot="1" x14ac:dyDescent="0.35">
      <c r="A52" s="50" t="s">
        <v>31</v>
      </c>
      <c r="B52" s="51" t="s">
        <v>135</v>
      </c>
      <c r="C52" s="52">
        <f>35*6</f>
        <v>210</v>
      </c>
      <c r="D52" s="53" t="s">
        <v>137</v>
      </c>
    </row>
    <row r="53" spans="1:4" x14ac:dyDescent="0.3">
      <c r="C53" s="63"/>
    </row>
  </sheetData>
  <mergeCells count="11">
    <mergeCell ref="A22:A23"/>
    <mergeCell ref="A27:A29"/>
    <mergeCell ref="A35:A36"/>
    <mergeCell ref="A38:A44"/>
    <mergeCell ref="D40:D42"/>
    <mergeCell ref="A1:D1"/>
    <mergeCell ref="A3:A4"/>
    <mergeCell ref="A8:A9"/>
    <mergeCell ref="A11:A13"/>
    <mergeCell ref="A15:A20"/>
    <mergeCell ref="D17:D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7F27E-670E-46C8-A818-8A5C798DDAC3}">
  <sheetPr>
    <tabColor theme="5"/>
  </sheetPr>
  <dimension ref="A1:K102"/>
  <sheetViews>
    <sheetView topLeftCell="A40" workbookViewId="0">
      <selection activeCell="B49" activeCellId="1" sqref="A43:XFD43 A49:XFD49"/>
    </sheetView>
  </sheetViews>
  <sheetFormatPr defaultColWidth="9.109375" defaultRowHeight="15" x14ac:dyDescent="0.3"/>
  <cols>
    <col min="1" max="1" width="40.33203125" style="66" bestFit="1" customWidth="1"/>
    <col min="2" max="2" width="74.109375" style="66" bestFit="1" customWidth="1"/>
    <col min="3" max="3" width="29.88671875" style="66" customWidth="1"/>
    <col min="4" max="4" width="16.44140625" style="120" bestFit="1" customWidth="1"/>
    <col min="5" max="16384" width="9.109375" style="66"/>
  </cols>
  <sheetData>
    <row r="1" spans="1:5" ht="16.2" thickBot="1" x14ac:dyDescent="0.35">
      <c r="A1" s="271"/>
      <c r="B1" s="271"/>
      <c r="C1" s="271"/>
      <c r="D1" s="271"/>
      <c r="E1" s="65"/>
    </row>
    <row r="2" spans="1:5" ht="16.2" thickBot="1" x14ac:dyDescent="0.35">
      <c r="A2" s="272" t="s">
        <v>138</v>
      </c>
      <c r="B2" s="273"/>
      <c r="C2" s="273"/>
      <c r="D2" s="274"/>
    </row>
    <row r="3" spans="1:5" ht="16.2" thickBot="1" x14ac:dyDescent="0.35">
      <c r="A3" s="67" t="s">
        <v>62</v>
      </c>
      <c r="B3" s="68" t="s">
        <v>63</v>
      </c>
      <c r="C3" s="69" t="s">
        <v>64</v>
      </c>
      <c r="D3" s="70" t="s">
        <v>139</v>
      </c>
    </row>
    <row r="4" spans="1:5" ht="15.6" thickBot="1" x14ac:dyDescent="0.35">
      <c r="A4" s="275" t="s">
        <v>4</v>
      </c>
      <c r="B4" s="71" t="s">
        <v>114</v>
      </c>
      <c r="C4" s="72">
        <v>210</v>
      </c>
      <c r="D4" s="73">
        <v>42405</v>
      </c>
    </row>
    <row r="5" spans="1:5" ht="15.6" thickBot="1" x14ac:dyDescent="0.35">
      <c r="A5" s="276"/>
      <c r="B5" s="74" t="s">
        <v>140</v>
      </c>
      <c r="C5" s="75">
        <f>6*79</f>
        <v>474</v>
      </c>
      <c r="D5" s="277">
        <v>42600</v>
      </c>
    </row>
    <row r="6" spans="1:5" ht="15.6" hidden="1" thickBot="1" x14ac:dyDescent="0.35">
      <c r="A6" s="276"/>
      <c r="B6" s="76" t="s">
        <v>141</v>
      </c>
      <c r="C6" s="77"/>
      <c r="D6" s="278"/>
    </row>
    <row r="7" spans="1:5" ht="16.2" thickBot="1" x14ac:dyDescent="0.35">
      <c r="A7" s="31" t="s">
        <v>62</v>
      </c>
      <c r="B7" s="78" t="s">
        <v>63</v>
      </c>
      <c r="C7" s="79" t="s">
        <v>64</v>
      </c>
      <c r="D7" s="80" t="s">
        <v>139</v>
      </c>
    </row>
    <row r="8" spans="1:5" x14ac:dyDescent="0.3">
      <c r="A8" s="279" t="s">
        <v>6</v>
      </c>
      <c r="B8" s="81" t="s">
        <v>142</v>
      </c>
      <c r="C8" s="82">
        <f>25*42</f>
        <v>1050</v>
      </c>
      <c r="D8" s="281">
        <v>42515</v>
      </c>
    </row>
    <row r="9" spans="1:5" x14ac:dyDescent="0.3">
      <c r="A9" s="280"/>
      <c r="B9" s="83" t="s">
        <v>141</v>
      </c>
      <c r="C9" s="84">
        <v>38.450000000000003</v>
      </c>
      <c r="D9" s="282"/>
    </row>
    <row r="10" spans="1:5" ht="16.2" thickBot="1" x14ac:dyDescent="0.35">
      <c r="A10" s="67" t="s">
        <v>62</v>
      </c>
      <c r="B10" s="68" t="s">
        <v>63</v>
      </c>
      <c r="C10" s="69" t="s">
        <v>64</v>
      </c>
      <c r="D10" s="70" t="s">
        <v>139</v>
      </c>
    </row>
    <row r="11" spans="1:5" x14ac:dyDescent="0.3">
      <c r="A11" s="283" t="s">
        <v>7</v>
      </c>
      <c r="B11" s="85" t="s">
        <v>143</v>
      </c>
      <c r="C11" s="75">
        <v>21</v>
      </c>
      <c r="D11" s="86">
        <v>42461</v>
      </c>
    </row>
    <row r="12" spans="1:5" ht="15.6" thickBot="1" x14ac:dyDescent="0.35">
      <c r="A12" s="284"/>
      <c r="B12" s="87" t="s">
        <v>144</v>
      </c>
      <c r="C12" s="88">
        <f>24*42</f>
        <v>1008</v>
      </c>
      <c r="D12" s="89">
        <v>42464</v>
      </c>
    </row>
    <row r="13" spans="1:5" ht="16.2" thickBot="1" x14ac:dyDescent="0.35">
      <c r="A13" s="67" t="s">
        <v>62</v>
      </c>
      <c r="B13" s="68" t="s">
        <v>63</v>
      </c>
      <c r="C13" s="69" t="s">
        <v>64</v>
      </c>
      <c r="D13" s="70" t="s">
        <v>139</v>
      </c>
    </row>
    <row r="14" spans="1:5" ht="15.6" thickBot="1" x14ac:dyDescent="0.35">
      <c r="A14" s="90" t="s">
        <v>9</v>
      </c>
      <c r="B14" s="91" t="s">
        <v>145</v>
      </c>
      <c r="C14" s="72">
        <v>1650</v>
      </c>
      <c r="D14" s="92" t="s">
        <v>146</v>
      </c>
    </row>
    <row r="15" spans="1:5" ht="16.2" thickBot="1" x14ac:dyDescent="0.35">
      <c r="A15" s="67" t="s">
        <v>62</v>
      </c>
      <c r="B15" s="68" t="s">
        <v>63</v>
      </c>
      <c r="C15" s="69" t="s">
        <v>64</v>
      </c>
      <c r="D15" s="70" t="s">
        <v>139</v>
      </c>
    </row>
    <row r="16" spans="1:5" x14ac:dyDescent="0.3">
      <c r="A16" s="283" t="s">
        <v>10</v>
      </c>
      <c r="B16" s="85" t="s">
        <v>147</v>
      </c>
      <c r="C16" s="75">
        <f>3*35+17.5</f>
        <v>122.5</v>
      </c>
      <c r="D16" s="86">
        <v>42461</v>
      </c>
    </row>
    <row r="17" spans="1:4" ht="15.6" thickBot="1" x14ac:dyDescent="0.35">
      <c r="A17" s="284"/>
      <c r="B17" s="93" t="s">
        <v>148</v>
      </c>
      <c r="C17" s="88">
        <f>27*1000</f>
        <v>27000</v>
      </c>
      <c r="D17" s="89">
        <v>42460</v>
      </c>
    </row>
    <row r="18" spans="1:4" ht="16.2" thickBot="1" x14ac:dyDescent="0.35">
      <c r="A18" s="67" t="s">
        <v>62</v>
      </c>
      <c r="B18" s="68" t="s">
        <v>63</v>
      </c>
      <c r="C18" s="69" t="s">
        <v>64</v>
      </c>
      <c r="D18" s="70" t="s">
        <v>139</v>
      </c>
    </row>
    <row r="19" spans="1:4" x14ac:dyDescent="0.3">
      <c r="A19" s="285" t="s">
        <v>16</v>
      </c>
      <c r="B19" s="94" t="s">
        <v>149</v>
      </c>
      <c r="C19" s="95">
        <v>8893.9599999999991</v>
      </c>
      <c r="D19" s="288">
        <v>42697</v>
      </c>
    </row>
    <row r="20" spans="1:4" x14ac:dyDescent="0.3">
      <c r="A20" s="286"/>
      <c r="B20" s="96" t="s">
        <v>150</v>
      </c>
      <c r="C20" s="77">
        <v>1796.96</v>
      </c>
      <c r="D20" s="289"/>
    </row>
    <row r="21" spans="1:4" x14ac:dyDescent="0.3">
      <c r="A21" s="286"/>
      <c r="B21" s="96" t="s">
        <v>151</v>
      </c>
      <c r="C21" s="77">
        <v>8579.2000000000007</v>
      </c>
      <c r="D21" s="289"/>
    </row>
    <row r="22" spans="1:4" x14ac:dyDescent="0.3">
      <c r="A22" s="286"/>
      <c r="B22" s="96" t="s">
        <v>152</v>
      </c>
      <c r="C22" s="77">
        <v>1429.92</v>
      </c>
      <c r="D22" s="289"/>
    </row>
    <row r="23" spans="1:4" x14ac:dyDescent="0.3">
      <c r="A23" s="286"/>
      <c r="B23" s="97" t="s">
        <v>153</v>
      </c>
      <c r="C23" s="84">
        <v>4007.8</v>
      </c>
      <c r="D23" s="289"/>
    </row>
    <row r="24" spans="1:4" x14ac:dyDescent="0.3">
      <c r="A24" s="286"/>
      <c r="B24" s="96" t="s">
        <v>154</v>
      </c>
      <c r="C24" s="77">
        <v>4047.72</v>
      </c>
      <c r="D24" s="289"/>
    </row>
    <row r="25" spans="1:4" x14ac:dyDescent="0.3">
      <c r="A25" s="286"/>
      <c r="B25" s="96" t="s">
        <v>155</v>
      </c>
      <c r="C25" s="77">
        <v>1661.2</v>
      </c>
      <c r="D25" s="289"/>
    </row>
    <row r="26" spans="1:4" ht="15.6" thickBot="1" x14ac:dyDescent="0.35">
      <c r="A26" s="287"/>
      <c r="B26" s="93" t="s">
        <v>156</v>
      </c>
      <c r="C26" s="88">
        <v>9171.17</v>
      </c>
      <c r="D26" s="290"/>
    </row>
    <row r="27" spans="1:4" ht="16.2" thickBot="1" x14ac:dyDescent="0.35">
      <c r="A27" s="67" t="s">
        <v>62</v>
      </c>
      <c r="B27" s="68" t="s">
        <v>63</v>
      </c>
      <c r="C27" s="69" t="s">
        <v>64</v>
      </c>
      <c r="D27" s="70" t="s">
        <v>139</v>
      </c>
    </row>
    <row r="28" spans="1:4" ht="15.6" thickBot="1" x14ac:dyDescent="0.35">
      <c r="A28" s="90" t="s">
        <v>20</v>
      </c>
      <c r="B28" s="91" t="s">
        <v>157</v>
      </c>
      <c r="C28" s="72">
        <f>42*50</f>
        <v>2100</v>
      </c>
      <c r="D28" s="73">
        <v>42457</v>
      </c>
    </row>
    <row r="29" spans="1:4" ht="16.2" thickBot="1" x14ac:dyDescent="0.35">
      <c r="A29" s="67" t="s">
        <v>62</v>
      </c>
      <c r="B29" s="68" t="s">
        <v>63</v>
      </c>
      <c r="C29" s="69" t="s">
        <v>64</v>
      </c>
      <c r="D29" s="70" t="s">
        <v>139</v>
      </c>
    </row>
    <row r="30" spans="1:4" ht="15.6" thickBot="1" x14ac:dyDescent="0.35">
      <c r="A30" s="291" t="s">
        <v>14</v>
      </c>
      <c r="B30" s="90" t="s">
        <v>158</v>
      </c>
      <c r="C30" s="72">
        <v>1600</v>
      </c>
      <c r="D30" s="73">
        <v>42502</v>
      </c>
    </row>
    <row r="31" spans="1:4" ht="15.6" thickBot="1" x14ac:dyDescent="0.35">
      <c r="A31" s="292"/>
      <c r="B31" s="90" t="s">
        <v>159</v>
      </c>
      <c r="C31" s="72">
        <f>65*12</f>
        <v>780</v>
      </c>
      <c r="D31" s="73">
        <v>42262</v>
      </c>
    </row>
    <row r="32" spans="1:4" x14ac:dyDescent="0.3">
      <c r="A32" s="292"/>
      <c r="B32" s="98" t="s">
        <v>160</v>
      </c>
      <c r="C32" s="95">
        <v>6670.47</v>
      </c>
      <c r="D32" s="288">
        <v>42697</v>
      </c>
    </row>
    <row r="33" spans="1:11" x14ac:dyDescent="0.3">
      <c r="A33" s="292"/>
      <c r="B33" s="99" t="s">
        <v>161</v>
      </c>
      <c r="C33" s="77">
        <v>1347.72</v>
      </c>
      <c r="D33" s="289"/>
    </row>
    <row r="34" spans="1:11" x14ac:dyDescent="0.3">
      <c r="A34" s="292"/>
      <c r="B34" s="99" t="s">
        <v>162</v>
      </c>
      <c r="C34" s="77">
        <v>6434.4</v>
      </c>
      <c r="D34" s="289"/>
    </row>
    <row r="35" spans="1:11" x14ac:dyDescent="0.3">
      <c r="A35" s="292"/>
      <c r="B35" s="99" t="s">
        <v>163</v>
      </c>
      <c r="C35" s="77">
        <v>1072.44</v>
      </c>
      <c r="D35" s="289"/>
    </row>
    <row r="36" spans="1:11" x14ac:dyDescent="0.3">
      <c r="A36" s="292"/>
      <c r="B36" s="100" t="s">
        <v>164</v>
      </c>
      <c r="C36" s="84">
        <v>3005.85</v>
      </c>
      <c r="D36" s="289"/>
    </row>
    <row r="37" spans="1:11" x14ac:dyDescent="0.3">
      <c r="A37" s="292"/>
      <c r="B37" s="99" t="s">
        <v>165</v>
      </c>
      <c r="C37" s="77">
        <v>3035.79</v>
      </c>
      <c r="D37" s="289"/>
    </row>
    <row r="38" spans="1:11" x14ac:dyDescent="0.3">
      <c r="A38" s="292"/>
      <c r="B38" s="99" t="s">
        <v>166</v>
      </c>
      <c r="C38" s="77">
        <v>1245.9000000000001</v>
      </c>
      <c r="D38" s="289"/>
    </row>
    <row r="39" spans="1:11" ht="15.6" thickBot="1" x14ac:dyDescent="0.35">
      <c r="A39" s="293"/>
      <c r="B39" s="101" t="s">
        <v>167</v>
      </c>
      <c r="C39" s="88">
        <v>7822.02</v>
      </c>
      <c r="D39" s="290"/>
    </row>
    <row r="40" spans="1:11" ht="16.2" thickBot="1" x14ac:dyDescent="0.35">
      <c r="A40" s="31" t="s">
        <v>62</v>
      </c>
      <c r="B40" s="78" t="s">
        <v>63</v>
      </c>
      <c r="C40" s="79" t="s">
        <v>64</v>
      </c>
      <c r="D40" s="80" t="s">
        <v>139</v>
      </c>
    </row>
    <row r="41" spans="1:11" x14ac:dyDescent="0.3">
      <c r="A41" s="291" t="s">
        <v>21</v>
      </c>
      <c r="B41" s="102" t="s">
        <v>168</v>
      </c>
      <c r="C41" s="75">
        <f>21*30</f>
        <v>630</v>
      </c>
      <c r="D41" s="277">
        <v>42522</v>
      </c>
    </row>
    <row r="42" spans="1:11" x14ac:dyDescent="0.3">
      <c r="A42" s="292"/>
      <c r="B42" s="103" t="s">
        <v>169</v>
      </c>
      <c r="C42" s="84">
        <f>39.5*4</f>
        <v>158</v>
      </c>
      <c r="D42" s="294"/>
    </row>
    <row r="43" spans="1:11" ht="15.6" thickBot="1" x14ac:dyDescent="0.35">
      <c r="A43" s="292"/>
      <c r="B43" s="104" t="s">
        <v>141</v>
      </c>
      <c r="C43" s="88">
        <v>28.81</v>
      </c>
      <c r="D43" s="295"/>
    </row>
    <row r="44" spans="1:11" x14ac:dyDescent="0.25">
      <c r="A44" s="292"/>
      <c r="B44" s="102" t="s">
        <v>170</v>
      </c>
      <c r="C44" s="105">
        <v>210</v>
      </c>
      <c r="D44" s="296">
        <v>42606</v>
      </c>
      <c r="E44" s="106"/>
      <c r="F44" s="106"/>
      <c r="G44" s="106"/>
      <c r="H44" s="106"/>
      <c r="I44" s="106"/>
      <c r="J44" s="106"/>
      <c r="K44" s="106"/>
    </row>
    <row r="45" spans="1:11" x14ac:dyDescent="0.25">
      <c r="A45" s="292"/>
      <c r="B45" s="103" t="s">
        <v>171</v>
      </c>
      <c r="C45" s="107">
        <v>1267.5</v>
      </c>
      <c r="D45" s="297"/>
      <c r="E45" s="106"/>
      <c r="F45" s="106"/>
      <c r="G45" s="106"/>
      <c r="H45" s="106"/>
      <c r="I45" s="106"/>
      <c r="J45" s="106"/>
      <c r="K45" s="106"/>
    </row>
    <row r="46" spans="1:11" x14ac:dyDescent="0.25">
      <c r="A46" s="292"/>
      <c r="B46" s="103" t="s">
        <v>172</v>
      </c>
      <c r="C46" s="107">
        <v>650</v>
      </c>
      <c r="D46" s="297"/>
      <c r="E46" s="106"/>
      <c r="F46" s="106"/>
      <c r="G46" s="106"/>
      <c r="H46" s="106"/>
      <c r="I46" s="106"/>
      <c r="J46" s="106"/>
      <c r="K46" s="106"/>
    </row>
    <row r="47" spans="1:11" x14ac:dyDescent="0.25">
      <c r="A47" s="292"/>
      <c r="B47" s="103" t="s">
        <v>173</v>
      </c>
      <c r="C47" s="107">
        <v>19.75</v>
      </c>
      <c r="D47" s="297"/>
      <c r="E47" s="106"/>
      <c r="F47" s="106"/>
      <c r="G47" s="106"/>
      <c r="H47" s="106"/>
      <c r="I47" s="106"/>
      <c r="J47" s="106"/>
      <c r="K47" s="106"/>
    </row>
    <row r="48" spans="1:11" x14ac:dyDescent="0.25">
      <c r="A48" s="292"/>
      <c r="B48" s="103" t="s">
        <v>174</v>
      </c>
      <c r="C48" s="107">
        <v>598.5</v>
      </c>
      <c r="D48" s="297"/>
      <c r="E48" s="106"/>
      <c r="F48" s="106"/>
      <c r="G48" s="106"/>
      <c r="H48" s="106"/>
      <c r="I48" s="106"/>
      <c r="J48" s="106"/>
      <c r="K48" s="106"/>
    </row>
    <row r="49" spans="1:11" ht="15.6" thickBot="1" x14ac:dyDescent="0.3">
      <c r="A49" s="292"/>
      <c r="B49" s="104" t="s">
        <v>175</v>
      </c>
      <c r="C49" s="108">
        <v>64.25</v>
      </c>
      <c r="D49" s="298"/>
      <c r="E49" s="106"/>
      <c r="F49" s="106"/>
      <c r="G49" s="106"/>
      <c r="H49" s="106"/>
      <c r="I49" s="106"/>
      <c r="J49" s="109"/>
      <c r="K49" s="106"/>
    </row>
    <row r="50" spans="1:11" x14ac:dyDescent="0.3">
      <c r="A50" s="292"/>
      <c r="B50" s="98" t="s">
        <v>176</v>
      </c>
      <c r="C50" s="95">
        <v>13340.94</v>
      </c>
      <c r="D50" s="288">
        <v>42697</v>
      </c>
    </row>
    <row r="51" spans="1:11" x14ac:dyDescent="0.3">
      <c r="A51" s="292"/>
      <c r="B51" s="99" t="s">
        <v>177</v>
      </c>
      <c r="C51" s="77">
        <v>2695.44</v>
      </c>
      <c r="D51" s="289"/>
    </row>
    <row r="52" spans="1:11" x14ac:dyDescent="0.3">
      <c r="A52" s="292"/>
      <c r="B52" s="99" t="s">
        <v>178</v>
      </c>
      <c r="C52" s="77">
        <v>12868.8</v>
      </c>
      <c r="D52" s="289"/>
    </row>
    <row r="53" spans="1:11" x14ac:dyDescent="0.3">
      <c r="A53" s="292"/>
      <c r="B53" s="99" t="s">
        <v>179</v>
      </c>
      <c r="C53" s="77">
        <v>2144.88</v>
      </c>
      <c r="D53" s="289"/>
    </row>
    <row r="54" spans="1:11" x14ac:dyDescent="0.3">
      <c r="A54" s="292"/>
      <c r="B54" s="100" t="s">
        <v>180</v>
      </c>
      <c r="C54" s="84">
        <v>6011.7</v>
      </c>
      <c r="D54" s="289"/>
    </row>
    <row r="55" spans="1:11" x14ac:dyDescent="0.3">
      <c r="A55" s="292"/>
      <c r="B55" s="99" t="s">
        <v>181</v>
      </c>
      <c r="C55" s="77">
        <v>6071.58</v>
      </c>
      <c r="D55" s="289"/>
    </row>
    <row r="56" spans="1:11" x14ac:dyDescent="0.3">
      <c r="A56" s="292"/>
      <c r="B56" s="99" t="s">
        <v>182</v>
      </c>
      <c r="C56" s="77">
        <v>2491.8000000000002</v>
      </c>
      <c r="D56" s="289"/>
    </row>
    <row r="57" spans="1:11" ht="15.6" thickBot="1" x14ac:dyDescent="0.35">
      <c r="A57" s="293"/>
      <c r="B57" s="101" t="s">
        <v>183</v>
      </c>
      <c r="C57" s="88">
        <v>11174.32</v>
      </c>
      <c r="D57" s="290"/>
    </row>
    <row r="58" spans="1:11" ht="16.2" thickBot="1" x14ac:dyDescent="0.35">
      <c r="A58" s="67" t="s">
        <v>62</v>
      </c>
      <c r="B58" s="68" t="s">
        <v>63</v>
      </c>
      <c r="C58" s="69" t="s">
        <v>64</v>
      </c>
      <c r="D58" s="70" t="s">
        <v>139</v>
      </c>
    </row>
    <row r="59" spans="1:11" ht="15.6" thickBot="1" x14ac:dyDescent="0.35">
      <c r="A59" s="110" t="s">
        <v>23</v>
      </c>
      <c r="B59" s="90" t="s">
        <v>184</v>
      </c>
      <c r="C59" s="72">
        <f>35*100</f>
        <v>3500</v>
      </c>
      <c r="D59" s="73">
        <v>42405</v>
      </c>
    </row>
    <row r="60" spans="1:11" ht="16.2" thickBot="1" x14ac:dyDescent="0.35">
      <c r="A60" s="67" t="s">
        <v>62</v>
      </c>
      <c r="B60" s="68" t="s">
        <v>63</v>
      </c>
      <c r="C60" s="69" t="s">
        <v>64</v>
      </c>
      <c r="D60" s="70" t="s">
        <v>139</v>
      </c>
    </row>
    <row r="61" spans="1:11" ht="15.6" thickBot="1" x14ac:dyDescent="0.35">
      <c r="A61" s="291" t="s">
        <v>24</v>
      </c>
      <c r="B61" s="90" t="s">
        <v>145</v>
      </c>
      <c r="C61" s="72">
        <v>1560</v>
      </c>
      <c r="D61" s="92" t="s">
        <v>146</v>
      </c>
    </row>
    <row r="62" spans="1:11" ht="15.6" thickBot="1" x14ac:dyDescent="0.35">
      <c r="A62" s="292"/>
      <c r="B62" s="90" t="s">
        <v>185</v>
      </c>
      <c r="C62" s="72">
        <f>3*79</f>
        <v>237</v>
      </c>
      <c r="D62" s="111">
        <v>42635</v>
      </c>
    </row>
    <row r="63" spans="1:11" ht="15.6" thickBot="1" x14ac:dyDescent="0.3">
      <c r="A63" s="292"/>
      <c r="B63" s="90" t="s">
        <v>186</v>
      </c>
      <c r="C63" s="112">
        <f>65*12</f>
        <v>780</v>
      </c>
      <c r="D63" s="111">
        <v>42640</v>
      </c>
      <c r="E63" s="106"/>
      <c r="F63" s="106"/>
      <c r="G63" s="106"/>
      <c r="H63" s="106"/>
      <c r="I63" s="106"/>
      <c r="J63" s="106"/>
      <c r="K63" s="106"/>
    </row>
    <row r="64" spans="1:11" ht="15.6" thickBot="1" x14ac:dyDescent="0.35">
      <c r="A64" s="292"/>
      <c r="B64" s="90" t="s">
        <v>140</v>
      </c>
      <c r="C64" s="72">
        <f>6*79</f>
        <v>474</v>
      </c>
      <c r="D64" s="111">
        <v>42660</v>
      </c>
    </row>
    <row r="65" spans="1:4" ht="15.6" thickBot="1" x14ac:dyDescent="0.35">
      <c r="A65" s="292"/>
      <c r="B65" s="90" t="s">
        <v>187</v>
      </c>
      <c r="C65" s="72">
        <f>24*70</f>
        <v>1680</v>
      </c>
      <c r="D65" s="111">
        <v>42688</v>
      </c>
    </row>
    <row r="66" spans="1:4" x14ac:dyDescent="0.3">
      <c r="A66" s="292"/>
      <c r="B66" s="113" t="s">
        <v>149</v>
      </c>
      <c r="C66" s="75">
        <v>8893.9599999999991</v>
      </c>
      <c r="D66" s="288">
        <v>42696</v>
      </c>
    </row>
    <row r="67" spans="1:4" x14ac:dyDescent="0.3">
      <c r="A67" s="292"/>
      <c r="B67" s="100" t="s">
        <v>150</v>
      </c>
      <c r="C67" s="84">
        <v>1796.96</v>
      </c>
      <c r="D67" s="299"/>
    </row>
    <row r="68" spans="1:4" x14ac:dyDescent="0.3">
      <c r="A68" s="292"/>
      <c r="B68" s="100" t="s">
        <v>151</v>
      </c>
      <c r="C68" s="84">
        <v>8579.2000000000007</v>
      </c>
      <c r="D68" s="299"/>
    </row>
    <row r="69" spans="1:4" x14ac:dyDescent="0.3">
      <c r="A69" s="292"/>
      <c r="B69" s="100" t="s">
        <v>152</v>
      </c>
      <c r="C69" s="84">
        <v>1429.92</v>
      </c>
      <c r="D69" s="299"/>
    </row>
    <row r="70" spans="1:4" x14ac:dyDescent="0.3">
      <c r="A70" s="292"/>
      <c r="B70" s="100" t="s">
        <v>153</v>
      </c>
      <c r="C70" s="84">
        <v>4007.8</v>
      </c>
      <c r="D70" s="299"/>
    </row>
    <row r="71" spans="1:4" x14ac:dyDescent="0.3">
      <c r="A71" s="292"/>
      <c r="B71" s="100" t="s">
        <v>154</v>
      </c>
      <c r="C71" s="84">
        <v>4047.72</v>
      </c>
      <c r="D71" s="299"/>
    </row>
    <row r="72" spans="1:4" x14ac:dyDescent="0.3">
      <c r="A72" s="292"/>
      <c r="B72" s="100" t="s">
        <v>155</v>
      </c>
      <c r="C72" s="84">
        <v>1661.2</v>
      </c>
      <c r="D72" s="299"/>
    </row>
    <row r="73" spans="1:4" x14ac:dyDescent="0.3">
      <c r="A73" s="292"/>
      <c r="B73" s="100" t="s">
        <v>188</v>
      </c>
      <c r="C73" s="84">
        <v>8939.4500000000007</v>
      </c>
      <c r="D73" s="299"/>
    </row>
    <row r="74" spans="1:4" ht="15.6" thickBot="1" x14ac:dyDescent="0.35">
      <c r="A74" s="293"/>
      <c r="B74" s="101" t="s">
        <v>189</v>
      </c>
      <c r="C74" s="88">
        <v>4655.96</v>
      </c>
      <c r="D74" s="300"/>
    </row>
    <row r="75" spans="1:4" ht="16.2" thickBot="1" x14ac:dyDescent="0.35">
      <c r="A75" s="67" t="s">
        <v>62</v>
      </c>
      <c r="B75" s="68" t="s">
        <v>63</v>
      </c>
      <c r="C75" s="69" t="s">
        <v>64</v>
      </c>
      <c r="D75" s="70" t="s">
        <v>139</v>
      </c>
    </row>
    <row r="76" spans="1:4" x14ac:dyDescent="0.3">
      <c r="A76" s="285" t="s">
        <v>28</v>
      </c>
      <c r="B76" s="94" t="s">
        <v>176</v>
      </c>
      <c r="C76" s="95">
        <v>13340.94</v>
      </c>
      <c r="D76" s="288">
        <v>42697</v>
      </c>
    </row>
    <row r="77" spans="1:4" x14ac:dyDescent="0.3">
      <c r="A77" s="286"/>
      <c r="B77" s="96" t="s">
        <v>177</v>
      </c>
      <c r="C77" s="77">
        <v>2695.44</v>
      </c>
      <c r="D77" s="289"/>
    </row>
    <row r="78" spans="1:4" x14ac:dyDescent="0.3">
      <c r="A78" s="286"/>
      <c r="B78" s="96" t="s">
        <v>178</v>
      </c>
      <c r="C78" s="77">
        <v>12868.8</v>
      </c>
      <c r="D78" s="289"/>
    </row>
    <row r="79" spans="1:4" x14ac:dyDescent="0.3">
      <c r="A79" s="286"/>
      <c r="B79" s="96" t="s">
        <v>179</v>
      </c>
      <c r="C79" s="77">
        <v>2144.88</v>
      </c>
      <c r="D79" s="289"/>
    </row>
    <row r="80" spans="1:4" x14ac:dyDescent="0.3">
      <c r="A80" s="286"/>
      <c r="B80" s="97" t="s">
        <v>180</v>
      </c>
      <c r="C80" s="84">
        <v>6011.7</v>
      </c>
      <c r="D80" s="289"/>
    </row>
    <row r="81" spans="1:4" x14ac:dyDescent="0.3">
      <c r="A81" s="286"/>
      <c r="B81" s="96" t="s">
        <v>181</v>
      </c>
      <c r="C81" s="77">
        <v>6071.58</v>
      </c>
      <c r="D81" s="289"/>
    </row>
    <row r="82" spans="1:4" x14ac:dyDescent="0.3">
      <c r="A82" s="286"/>
      <c r="B82" s="96" t="s">
        <v>182</v>
      </c>
      <c r="C82" s="77">
        <v>2491.8000000000002</v>
      </c>
      <c r="D82" s="289"/>
    </row>
    <row r="83" spans="1:4" ht="15.6" thickBot="1" x14ac:dyDescent="0.35">
      <c r="A83" s="287"/>
      <c r="B83" s="93" t="s">
        <v>190</v>
      </c>
      <c r="C83" s="88">
        <v>15644.04</v>
      </c>
      <c r="D83" s="290"/>
    </row>
    <row r="84" spans="1:4" ht="16.2" thickBot="1" x14ac:dyDescent="0.35">
      <c r="A84" s="67" t="s">
        <v>62</v>
      </c>
      <c r="B84" s="68" t="s">
        <v>63</v>
      </c>
      <c r="C84" s="69" t="s">
        <v>64</v>
      </c>
      <c r="D84" s="70" t="s">
        <v>139</v>
      </c>
    </row>
    <row r="85" spans="1:4" x14ac:dyDescent="0.3">
      <c r="A85" s="283" t="s">
        <v>29</v>
      </c>
      <c r="B85" s="85" t="s">
        <v>96</v>
      </c>
      <c r="C85" s="75">
        <f>42*120</f>
        <v>5040</v>
      </c>
      <c r="D85" s="277">
        <v>42489</v>
      </c>
    </row>
    <row r="86" spans="1:4" x14ac:dyDescent="0.3">
      <c r="A86" s="301"/>
      <c r="B86" s="83" t="s">
        <v>191</v>
      </c>
      <c r="C86" s="84">
        <f>60*79</f>
        <v>4740</v>
      </c>
      <c r="D86" s="294"/>
    </row>
    <row r="87" spans="1:4" ht="15.6" thickBot="1" x14ac:dyDescent="0.35">
      <c r="A87" s="301"/>
      <c r="B87" s="83" t="s">
        <v>141</v>
      </c>
      <c r="C87" s="84">
        <v>137.04</v>
      </c>
      <c r="D87" s="294"/>
    </row>
    <row r="88" spans="1:4" x14ac:dyDescent="0.3">
      <c r="A88" s="301"/>
      <c r="B88" s="94" t="s">
        <v>176</v>
      </c>
      <c r="C88" s="95">
        <v>15141.04</v>
      </c>
      <c r="D88" s="288">
        <v>42684</v>
      </c>
    </row>
    <row r="89" spans="1:4" x14ac:dyDescent="0.3">
      <c r="A89" s="301"/>
      <c r="B89" s="96" t="s">
        <v>181</v>
      </c>
      <c r="C89" s="77">
        <v>6890.68</v>
      </c>
      <c r="D89" s="299"/>
    </row>
    <row r="90" spans="1:4" x14ac:dyDescent="0.3">
      <c r="A90" s="301"/>
      <c r="B90" s="96" t="s">
        <v>177</v>
      </c>
      <c r="C90" s="77">
        <v>2558.5</v>
      </c>
      <c r="D90" s="299"/>
    </row>
    <row r="91" spans="1:4" x14ac:dyDescent="0.3">
      <c r="A91" s="301"/>
      <c r="B91" s="96" t="s">
        <v>182</v>
      </c>
      <c r="C91" s="77">
        <v>2365.2199999999998</v>
      </c>
      <c r="D91" s="299"/>
    </row>
    <row r="92" spans="1:4" x14ac:dyDescent="0.3">
      <c r="A92" s="301"/>
      <c r="B92" s="96" t="s">
        <v>178</v>
      </c>
      <c r="C92" s="77">
        <v>12214.19</v>
      </c>
      <c r="D92" s="299"/>
    </row>
    <row r="93" spans="1:4" ht="15.6" thickBot="1" x14ac:dyDescent="0.35">
      <c r="A93" s="301"/>
      <c r="B93" s="93" t="s">
        <v>179</v>
      </c>
      <c r="C93" s="88">
        <v>2035.99</v>
      </c>
      <c r="D93" s="300"/>
    </row>
    <row r="94" spans="1:4" x14ac:dyDescent="0.3">
      <c r="A94" s="301"/>
      <c r="B94" s="114" t="s">
        <v>180</v>
      </c>
      <c r="C94" s="75">
        <v>6011.7</v>
      </c>
      <c r="D94" s="288">
        <v>42731</v>
      </c>
    </row>
    <row r="95" spans="1:4" x14ac:dyDescent="0.3">
      <c r="A95" s="301"/>
      <c r="B95" s="97" t="s">
        <v>192</v>
      </c>
      <c r="C95" s="84">
        <v>13036.7</v>
      </c>
      <c r="D95" s="289"/>
    </row>
    <row r="96" spans="1:4" ht="15.6" thickBot="1" x14ac:dyDescent="0.35">
      <c r="A96" s="284"/>
      <c r="B96" s="93" t="s">
        <v>193</v>
      </c>
      <c r="C96" s="88">
        <v>1862.39</v>
      </c>
      <c r="D96" s="290"/>
    </row>
    <row r="97" spans="1:4" ht="15.6" x14ac:dyDescent="0.3">
      <c r="A97" s="115" t="s">
        <v>62</v>
      </c>
      <c r="B97" s="116" t="s">
        <v>63</v>
      </c>
      <c r="C97" s="117" t="s">
        <v>64</v>
      </c>
      <c r="D97" s="118" t="s">
        <v>139</v>
      </c>
    </row>
    <row r="98" spans="1:4" s="106" customFormat="1" ht="15.6" thickBot="1" x14ac:dyDescent="0.3">
      <c r="A98" s="104" t="s">
        <v>30</v>
      </c>
      <c r="B98" s="93" t="s">
        <v>194</v>
      </c>
      <c r="C98" s="88">
        <v>2256.6</v>
      </c>
      <c r="D98" s="89">
        <v>42509</v>
      </c>
    </row>
    <row r="99" spans="1:4" ht="16.2" thickBot="1" x14ac:dyDescent="0.35">
      <c r="A99" s="67" t="s">
        <v>62</v>
      </c>
      <c r="B99" s="68" t="s">
        <v>63</v>
      </c>
      <c r="C99" s="69" t="s">
        <v>64</v>
      </c>
      <c r="D99" s="70" t="s">
        <v>139</v>
      </c>
    </row>
    <row r="100" spans="1:4" x14ac:dyDescent="0.3">
      <c r="A100" s="283" t="s">
        <v>31</v>
      </c>
      <c r="B100" s="85" t="s">
        <v>144</v>
      </c>
      <c r="C100" s="75">
        <f>24*42</f>
        <v>1008</v>
      </c>
      <c r="D100" s="86">
        <v>42421</v>
      </c>
    </row>
    <row r="101" spans="1:4" ht="15.6" thickBot="1" x14ac:dyDescent="0.35">
      <c r="A101" s="284"/>
      <c r="B101" s="87" t="s">
        <v>195</v>
      </c>
      <c r="C101" s="88">
        <f>24*42</f>
        <v>1008</v>
      </c>
      <c r="D101" s="89">
        <v>42461</v>
      </c>
    </row>
    <row r="102" spans="1:4" ht="19.2" x14ac:dyDescent="0.3">
      <c r="D102" s="119"/>
    </row>
  </sheetData>
  <mergeCells count="25">
    <mergeCell ref="A100:A101"/>
    <mergeCell ref="A76:A83"/>
    <mergeCell ref="D76:D83"/>
    <mergeCell ref="A85:A96"/>
    <mergeCell ref="D85:D87"/>
    <mergeCell ref="D88:D93"/>
    <mergeCell ref="D94:D96"/>
    <mergeCell ref="A41:A57"/>
    <mergeCell ref="D41:D43"/>
    <mergeCell ref="D44:D49"/>
    <mergeCell ref="D50:D57"/>
    <mergeCell ref="A61:A74"/>
    <mergeCell ref="D66:D74"/>
    <mergeCell ref="A11:A12"/>
    <mergeCell ref="A16:A17"/>
    <mergeCell ref="A19:A26"/>
    <mergeCell ref="D19:D26"/>
    <mergeCell ref="A30:A39"/>
    <mergeCell ref="D32:D39"/>
    <mergeCell ref="A1:D1"/>
    <mergeCell ref="A2:D2"/>
    <mergeCell ref="A4:A6"/>
    <mergeCell ref="D5:D6"/>
    <mergeCell ref="A8:A9"/>
    <mergeCell ref="D8:D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8A14-C810-4F21-B262-5E0CD0B2A3D4}">
  <sheetPr>
    <tabColor theme="5"/>
  </sheetPr>
  <dimension ref="A1:K55"/>
  <sheetViews>
    <sheetView topLeftCell="A28" zoomScale="90" zoomScaleNormal="90" workbookViewId="0">
      <selection activeCell="C51" sqref="C51"/>
    </sheetView>
  </sheetViews>
  <sheetFormatPr defaultColWidth="9.109375" defaultRowHeight="15" x14ac:dyDescent="0.3"/>
  <cols>
    <col min="1" max="1" width="19.44140625" style="66" customWidth="1"/>
    <col min="2" max="2" width="59.6640625" style="66" customWidth="1"/>
    <col min="3" max="3" width="29.88671875" style="66" customWidth="1"/>
    <col min="4" max="4" width="16.44140625" style="120" customWidth="1"/>
    <col min="5" max="5" width="51.109375" style="66" bestFit="1" customWidth="1"/>
    <col min="6" max="8" width="9.109375" style="66"/>
    <col min="9" max="9" width="12" style="66" customWidth="1"/>
    <col min="10" max="16384" width="9.109375" style="66"/>
  </cols>
  <sheetData>
    <row r="1" spans="1:4" ht="16.2" thickBot="1" x14ac:dyDescent="0.35">
      <c r="A1" s="272" t="s">
        <v>196</v>
      </c>
      <c r="B1" s="273"/>
      <c r="C1" s="273"/>
      <c r="D1" s="274"/>
    </row>
    <row r="2" spans="1:4" ht="16.2" thickBot="1" x14ac:dyDescent="0.35">
      <c r="A2" s="31" t="s">
        <v>62</v>
      </c>
      <c r="B2" s="78" t="s">
        <v>63</v>
      </c>
      <c r="C2" s="79" t="s">
        <v>64</v>
      </c>
      <c r="D2" s="80" t="s">
        <v>139</v>
      </c>
    </row>
    <row r="3" spans="1:4" ht="15.6" thickBot="1" x14ac:dyDescent="0.35">
      <c r="A3" s="291" t="s">
        <v>7</v>
      </c>
      <c r="B3" s="90" t="s">
        <v>197</v>
      </c>
      <c r="C3" s="72">
        <f>214.48*45</f>
        <v>9651.6</v>
      </c>
      <c r="D3" s="73">
        <v>42759</v>
      </c>
    </row>
    <row r="4" spans="1:4" x14ac:dyDescent="0.3">
      <c r="A4" s="292"/>
      <c r="B4" s="102" t="s">
        <v>198</v>
      </c>
      <c r="C4" s="121">
        <f>70*12</f>
        <v>840</v>
      </c>
      <c r="D4" s="277">
        <v>42766</v>
      </c>
    </row>
    <row r="5" spans="1:4" ht="15.6" thickBot="1" x14ac:dyDescent="0.35">
      <c r="A5" s="292"/>
      <c r="B5" s="103" t="s">
        <v>141</v>
      </c>
      <c r="C5" s="84">
        <v>62.75</v>
      </c>
      <c r="D5" s="294"/>
    </row>
    <row r="6" spans="1:4" ht="16.2" thickBot="1" x14ac:dyDescent="0.35">
      <c r="A6" s="31" t="s">
        <v>62</v>
      </c>
      <c r="B6" s="78" t="s">
        <v>63</v>
      </c>
      <c r="C6" s="79" t="s">
        <v>64</v>
      </c>
      <c r="D6" s="80" t="s">
        <v>139</v>
      </c>
    </row>
    <row r="7" spans="1:4" s="124" customFormat="1" x14ac:dyDescent="0.3">
      <c r="A7" s="302" t="s">
        <v>199</v>
      </c>
      <c r="B7" s="122" t="s">
        <v>85</v>
      </c>
      <c r="C7" s="123">
        <v>9000</v>
      </c>
      <c r="D7" s="305">
        <v>42835</v>
      </c>
    </row>
    <row r="8" spans="1:4" s="124" customFormat="1" x14ac:dyDescent="0.3">
      <c r="A8" s="303"/>
      <c r="B8" s="125" t="s">
        <v>200</v>
      </c>
      <c r="C8" s="126">
        <v>3971.72</v>
      </c>
      <c r="D8" s="306"/>
    </row>
    <row r="9" spans="1:4" s="124" customFormat="1" x14ac:dyDescent="0.3">
      <c r="A9" s="303"/>
      <c r="B9" s="125" t="s">
        <v>201</v>
      </c>
      <c r="C9" s="126">
        <f>150.44*3</f>
        <v>451.32</v>
      </c>
      <c r="D9" s="306"/>
    </row>
    <row r="10" spans="1:4" s="124" customFormat="1" x14ac:dyDescent="0.3">
      <c r="A10" s="303"/>
      <c r="B10" s="125" t="s">
        <v>202</v>
      </c>
      <c r="C10" s="126">
        <f>150.44*2</f>
        <v>300.88</v>
      </c>
      <c r="D10" s="306"/>
    </row>
    <row r="11" spans="1:4" s="124" customFormat="1" x14ac:dyDescent="0.3">
      <c r="A11" s="303"/>
      <c r="B11" s="125" t="s">
        <v>203</v>
      </c>
      <c r="C11" s="126">
        <v>2500</v>
      </c>
      <c r="D11" s="306"/>
    </row>
    <row r="12" spans="1:4" s="124" customFormat="1" x14ac:dyDescent="0.3">
      <c r="A12" s="303"/>
      <c r="B12" s="125" t="s">
        <v>204</v>
      </c>
      <c r="C12" s="126">
        <v>1787.4</v>
      </c>
      <c r="D12" s="306"/>
    </row>
    <row r="13" spans="1:4" s="124" customFormat="1" x14ac:dyDescent="0.3">
      <c r="A13" s="303"/>
      <c r="B13" s="125" t="s">
        <v>205</v>
      </c>
      <c r="C13" s="126">
        <v>1110.55</v>
      </c>
      <c r="D13" s="306"/>
    </row>
    <row r="14" spans="1:4" s="124" customFormat="1" x14ac:dyDescent="0.3">
      <c r="A14" s="303"/>
      <c r="B14" s="125" t="s">
        <v>206</v>
      </c>
      <c r="C14" s="126">
        <v>333.15</v>
      </c>
      <c r="D14" s="306"/>
    </row>
    <row r="15" spans="1:4" s="124" customFormat="1" x14ac:dyDescent="0.3">
      <c r="A15" s="303"/>
      <c r="B15" s="125" t="s">
        <v>207</v>
      </c>
      <c r="C15" s="126">
        <v>84.33</v>
      </c>
      <c r="D15" s="306"/>
    </row>
    <row r="16" spans="1:4" s="124" customFormat="1" ht="15.6" thickBot="1" x14ac:dyDescent="0.35">
      <c r="A16" s="304"/>
      <c r="B16" s="127" t="s">
        <v>208</v>
      </c>
      <c r="C16" s="128">
        <v>198.68</v>
      </c>
      <c r="D16" s="307"/>
    </row>
    <row r="17" spans="1:4" ht="16.2" thickBot="1" x14ac:dyDescent="0.35">
      <c r="A17" s="129" t="s">
        <v>62</v>
      </c>
      <c r="B17" s="130" t="s">
        <v>63</v>
      </c>
      <c r="C17" s="131" t="s">
        <v>64</v>
      </c>
      <c r="D17" s="70" t="s">
        <v>139</v>
      </c>
    </row>
    <row r="18" spans="1:4" x14ac:dyDescent="0.3">
      <c r="A18" s="292" t="s">
        <v>10</v>
      </c>
      <c r="B18" s="132" t="s">
        <v>209</v>
      </c>
      <c r="C18" s="121">
        <f>35*24</f>
        <v>840</v>
      </c>
      <c r="D18" s="277">
        <v>42828</v>
      </c>
    </row>
    <row r="19" spans="1:4" ht="15.6" thickBot="1" x14ac:dyDescent="0.35">
      <c r="A19" s="292"/>
      <c r="B19" s="103" t="s">
        <v>141</v>
      </c>
      <c r="C19" s="84">
        <v>36.450000000000003</v>
      </c>
      <c r="D19" s="294"/>
    </row>
    <row r="20" spans="1:4" ht="15.6" x14ac:dyDescent="0.3">
      <c r="A20" s="133" t="s">
        <v>62</v>
      </c>
      <c r="B20" s="134" t="s">
        <v>63</v>
      </c>
      <c r="C20" s="131" t="s">
        <v>64</v>
      </c>
      <c r="D20" s="70" t="s">
        <v>139</v>
      </c>
    </row>
    <row r="21" spans="1:4" x14ac:dyDescent="0.3">
      <c r="A21" s="280" t="s">
        <v>11</v>
      </c>
      <c r="B21" s="83" t="s">
        <v>210</v>
      </c>
      <c r="C21" s="135">
        <f>86*2.5</f>
        <v>215</v>
      </c>
      <c r="D21" s="282">
        <v>42832</v>
      </c>
    </row>
    <row r="22" spans="1:4" x14ac:dyDescent="0.3">
      <c r="A22" s="280"/>
      <c r="B22" s="83" t="s">
        <v>141</v>
      </c>
      <c r="C22" s="84">
        <v>36.450000000000003</v>
      </c>
      <c r="D22" s="282"/>
    </row>
    <row r="23" spans="1:4" ht="15.6" x14ac:dyDescent="0.3">
      <c r="A23" s="67" t="s">
        <v>62</v>
      </c>
      <c r="B23" s="68" t="s">
        <v>63</v>
      </c>
      <c r="C23" s="69" t="s">
        <v>64</v>
      </c>
      <c r="D23" s="70" t="s">
        <v>139</v>
      </c>
    </row>
    <row r="24" spans="1:4" x14ac:dyDescent="0.3">
      <c r="A24" s="83" t="s">
        <v>16</v>
      </c>
      <c r="B24" s="83" t="s">
        <v>211</v>
      </c>
      <c r="C24" s="84">
        <f>18*70</f>
        <v>1260</v>
      </c>
      <c r="D24" s="136">
        <v>43055</v>
      </c>
    </row>
    <row r="25" spans="1:4" ht="15.6" x14ac:dyDescent="0.3">
      <c r="A25" s="67" t="s">
        <v>62</v>
      </c>
      <c r="B25" s="68" t="s">
        <v>63</v>
      </c>
      <c r="C25" s="69" t="s">
        <v>64</v>
      </c>
      <c r="D25" s="70" t="s">
        <v>139</v>
      </c>
    </row>
    <row r="26" spans="1:4" s="124" customFormat="1" x14ac:dyDescent="0.3">
      <c r="A26" s="308" t="s">
        <v>17</v>
      </c>
      <c r="B26" s="125" t="s">
        <v>212</v>
      </c>
      <c r="C26" s="126">
        <v>15000</v>
      </c>
      <c r="D26" s="309">
        <v>42790</v>
      </c>
    </row>
    <row r="27" spans="1:4" s="124" customFormat="1" x14ac:dyDescent="0.3">
      <c r="A27" s="308"/>
      <c r="B27" s="125" t="s">
        <v>213</v>
      </c>
      <c r="C27" s="126">
        <v>2246.1999999999998</v>
      </c>
      <c r="D27" s="310"/>
    </row>
    <row r="28" spans="1:4" s="124" customFormat="1" x14ac:dyDescent="0.3">
      <c r="A28" s="308"/>
      <c r="B28" s="125" t="s">
        <v>214</v>
      </c>
      <c r="C28" s="126">
        <v>10724</v>
      </c>
      <c r="D28" s="310"/>
    </row>
    <row r="29" spans="1:4" s="124" customFormat="1" x14ac:dyDescent="0.3">
      <c r="A29" s="308"/>
      <c r="B29" s="125" t="s">
        <v>204</v>
      </c>
      <c r="C29" s="126">
        <v>1787.4</v>
      </c>
      <c r="D29" s="310"/>
    </row>
    <row r="30" spans="1:4" s="124" customFormat="1" x14ac:dyDescent="0.3">
      <c r="A30" s="308"/>
      <c r="B30" s="125" t="s">
        <v>215</v>
      </c>
      <c r="C30" s="126">
        <v>5009.75</v>
      </c>
      <c r="D30" s="310"/>
    </row>
    <row r="31" spans="1:4" s="124" customFormat="1" x14ac:dyDescent="0.3">
      <c r="A31" s="308"/>
      <c r="B31" s="125" t="s">
        <v>216</v>
      </c>
      <c r="C31" s="126">
        <v>5059.6499999999996</v>
      </c>
      <c r="D31" s="310"/>
    </row>
    <row r="32" spans="1:4" s="124" customFormat="1" ht="15.6" thickBot="1" x14ac:dyDescent="0.35">
      <c r="A32" s="308"/>
      <c r="B32" s="125" t="s">
        <v>217</v>
      </c>
      <c r="C32" s="126">
        <v>2076.5</v>
      </c>
      <c r="D32" s="311"/>
    </row>
    <row r="33" spans="1:11" ht="16.2" thickBot="1" x14ac:dyDescent="0.35">
      <c r="A33" s="31" t="s">
        <v>62</v>
      </c>
      <c r="B33" s="137" t="s">
        <v>63</v>
      </c>
      <c r="C33" s="138" t="s">
        <v>64</v>
      </c>
      <c r="D33" s="134" t="s">
        <v>139</v>
      </c>
    </row>
    <row r="34" spans="1:11" ht="15.6" thickBot="1" x14ac:dyDescent="0.35">
      <c r="A34" s="312" t="s">
        <v>21</v>
      </c>
      <c r="B34" s="90" t="s">
        <v>218</v>
      </c>
      <c r="C34" s="72">
        <f>70*6</f>
        <v>420</v>
      </c>
      <c r="D34" s="139">
        <v>43052</v>
      </c>
    </row>
    <row r="35" spans="1:11" x14ac:dyDescent="0.3">
      <c r="A35" s="313"/>
      <c r="B35" s="102" t="s">
        <v>219</v>
      </c>
      <c r="C35" s="75">
        <f>86/12*200</f>
        <v>1433.3333333333335</v>
      </c>
      <c r="D35" s="140">
        <v>42874</v>
      </c>
    </row>
    <row r="36" spans="1:11" ht="15.6" thickBot="1" x14ac:dyDescent="0.35">
      <c r="A36" s="313"/>
      <c r="B36" s="104" t="s">
        <v>220</v>
      </c>
      <c r="C36" s="88">
        <f>43/12*341</f>
        <v>1221.9166666666667</v>
      </c>
      <c r="D36" s="141">
        <v>42874</v>
      </c>
    </row>
    <row r="37" spans="1:11" ht="16.2" thickBot="1" x14ac:dyDescent="0.35">
      <c r="A37" s="142" t="s">
        <v>62</v>
      </c>
      <c r="B37" s="143" t="s">
        <v>63</v>
      </c>
      <c r="C37" s="144" t="s">
        <v>64</v>
      </c>
      <c r="D37" s="130" t="s">
        <v>139</v>
      </c>
    </row>
    <row r="38" spans="1:11" x14ac:dyDescent="0.3">
      <c r="A38" s="275" t="s">
        <v>24</v>
      </c>
      <c r="B38" s="132" t="s">
        <v>221</v>
      </c>
      <c r="C38" s="145">
        <f>214.48*20</f>
        <v>4289.5999999999995</v>
      </c>
      <c r="D38" s="317">
        <v>42783</v>
      </c>
    </row>
    <row r="39" spans="1:11" ht="15.6" thickBot="1" x14ac:dyDescent="0.3">
      <c r="A39" s="276"/>
      <c r="B39" s="104" t="s">
        <v>198</v>
      </c>
      <c r="C39" s="146">
        <f>70*12</f>
        <v>840</v>
      </c>
      <c r="D39" s="298"/>
      <c r="E39" s="106"/>
      <c r="F39" s="106"/>
      <c r="G39" s="106"/>
      <c r="H39" s="106"/>
      <c r="I39" s="106"/>
      <c r="J39" s="106"/>
      <c r="K39" s="106"/>
    </row>
    <row r="40" spans="1:11" ht="15.6" thickBot="1" x14ac:dyDescent="0.3">
      <c r="A40" s="276"/>
      <c r="B40" s="147" t="s">
        <v>222</v>
      </c>
      <c r="C40" s="148">
        <f>86*5</f>
        <v>430</v>
      </c>
      <c r="D40" s="149">
        <v>42814</v>
      </c>
      <c r="E40" s="106"/>
      <c r="F40" s="106"/>
      <c r="G40" s="106"/>
      <c r="H40" s="106"/>
      <c r="I40" s="106"/>
      <c r="J40" s="106"/>
      <c r="K40" s="106"/>
    </row>
    <row r="41" spans="1:11" x14ac:dyDescent="0.25">
      <c r="A41" s="276"/>
      <c r="B41" s="102" t="s">
        <v>223</v>
      </c>
      <c r="C41" s="121">
        <f>17.5*46</f>
        <v>805</v>
      </c>
      <c r="D41" s="296">
        <v>42834</v>
      </c>
      <c r="E41" s="292" t="s">
        <v>224</v>
      </c>
      <c r="F41" s="106"/>
      <c r="G41" s="106"/>
      <c r="H41" s="106"/>
      <c r="I41" s="106"/>
      <c r="J41" s="106"/>
      <c r="K41" s="106"/>
    </row>
    <row r="42" spans="1:11" ht="15.6" thickBot="1" x14ac:dyDescent="0.3">
      <c r="A42" s="276"/>
      <c r="B42" s="104" t="s">
        <v>225</v>
      </c>
      <c r="C42" s="146">
        <f>4*50</f>
        <v>200</v>
      </c>
      <c r="D42" s="298"/>
      <c r="E42" s="292"/>
      <c r="F42" s="106"/>
      <c r="G42" s="106"/>
      <c r="H42" s="106"/>
      <c r="I42" s="106"/>
      <c r="J42" s="106"/>
      <c r="K42" s="106"/>
    </row>
    <row r="43" spans="1:11" ht="15.6" thickBot="1" x14ac:dyDescent="0.3">
      <c r="A43" s="276"/>
      <c r="B43" s="150" t="s">
        <v>226</v>
      </c>
      <c r="C43" s="151">
        <f>70*10</f>
        <v>700</v>
      </c>
      <c r="D43" s="314" t="s">
        <v>227</v>
      </c>
      <c r="E43" s="106"/>
      <c r="F43" s="106"/>
      <c r="G43" s="106"/>
      <c r="H43" s="106"/>
      <c r="I43" s="106"/>
      <c r="J43" s="106"/>
      <c r="K43" s="106"/>
    </row>
    <row r="44" spans="1:11" ht="15.6" thickBot="1" x14ac:dyDescent="0.3">
      <c r="A44" s="276"/>
      <c r="B44" s="150" t="s">
        <v>228</v>
      </c>
      <c r="C44" s="151">
        <f>86*12</f>
        <v>1032</v>
      </c>
      <c r="D44" s="315"/>
      <c r="E44" s="106"/>
      <c r="F44" s="106"/>
      <c r="G44" s="106"/>
      <c r="H44" s="106"/>
      <c r="I44" s="106"/>
      <c r="J44" s="106"/>
      <c r="K44" s="106"/>
    </row>
    <row r="45" spans="1:11" ht="15.6" thickBot="1" x14ac:dyDescent="0.35">
      <c r="A45" s="276"/>
      <c r="B45" s="90" t="s">
        <v>229</v>
      </c>
      <c r="C45" s="72">
        <f>12*70</f>
        <v>840</v>
      </c>
      <c r="D45" s="111">
        <v>42874</v>
      </c>
    </row>
    <row r="46" spans="1:11" ht="15.6" thickBot="1" x14ac:dyDescent="0.35">
      <c r="A46" s="276"/>
      <c r="B46" s="90" t="s">
        <v>230</v>
      </c>
      <c r="C46" s="72">
        <f>24*70</f>
        <v>1680</v>
      </c>
      <c r="D46" s="111">
        <v>42875</v>
      </c>
    </row>
    <row r="47" spans="1:11" ht="15.6" thickBot="1" x14ac:dyDescent="0.3">
      <c r="A47" s="276"/>
      <c r="B47" s="150" t="s">
        <v>140</v>
      </c>
      <c r="C47" s="151">
        <f>86*6</f>
        <v>516</v>
      </c>
      <c r="D47" s="111">
        <v>42884</v>
      </c>
      <c r="E47" s="106"/>
      <c r="F47" s="106"/>
      <c r="G47" s="106"/>
      <c r="H47" s="106"/>
      <c r="I47" s="106"/>
      <c r="J47" s="106"/>
      <c r="K47" s="106"/>
    </row>
    <row r="48" spans="1:11" ht="15.6" thickBot="1" x14ac:dyDescent="0.3">
      <c r="A48" s="316"/>
      <c r="B48" s="150" t="s">
        <v>231</v>
      </c>
      <c r="C48" s="151">
        <f>6*10</f>
        <v>60</v>
      </c>
      <c r="D48" s="152">
        <v>43384</v>
      </c>
      <c r="E48" s="106"/>
      <c r="F48" s="106"/>
      <c r="G48" s="106"/>
      <c r="H48" s="106"/>
      <c r="I48" s="106"/>
      <c r="J48" s="106"/>
      <c r="K48" s="106"/>
    </row>
    <row r="49" spans="1:4" ht="16.2" thickBot="1" x14ac:dyDescent="0.35">
      <c r="A49" s="31" t="s">
        <v>62</v>
      </c>
      <c r="B49" s="153" t="s">
        <v>63</v>
      </c>
      <c r="C49" s="154" t="s">
        <v>64</v>
      </c>
      <c r="D49" s="130" t="s">
        <v>139</v>
      </c>
    </row>
    <row r="50" spans="1:4" x14ac:dyDescent="0.3">
      <c r="A50" s="279" t="s">
        <v>29</v>
      </c>
      <c r="B50" s="81" t="s">
        <v>232</v>
      </c>
      <c r="C50" s="82">
        <f>360*50</f>
        <v>18000</v>
      </c>
      <c r="D50" s="281">
        <v>42786</v>
      </c>
    </row>
    <row r="51" spans="1:4" ht="15.6" thickBot="1" x14ac:dyDescent="0.35">
      <c r="A51" s="280"/>
      <c r="B51" s="83" t="s">
        <v>141</v>
      </c>
      <c r="C51" s="84">
        <v>851.58</v>
      </c>
      <c r="D51" s="282"/>
    </row>
    <row r="52" spans="1:4" ht="16.2" thickBot="1" x14ac:dyDescent="0.35">
      <c r="A52" s="133" t="s">
        <v>62</v>
      </c>
      <c r="B52" s="68" t="s">
        <v>63</v>
      </c>
      <c r="C52" s="69" t="s">
        <v>64</v>
      </c>
      <c r="D52" s="70" t="s">
        <v>139</v>
      </c>
    </row>
    <row r="53" spans="1:4" x14ac:dyDescent="0.3">
      <c r="A53" s="283" t="s">
        <v>30</v>
      </c>
      <c r="B53" s="155" t="s">
        <v>233</v>
      </c>
      <c r="C53" s="156">
        <v>12000</v>
      </c>
      <c r="D53" s="277">
        <v>42832</v>
      </c>
    </row>
    <row r="54" spans="1:4" x14ac:dyDescent="0.3">
      <c r="A54" s="301"/>
      <c r="B54" s="125" t="s">
        <v>234</v>
      </c>
      <c r="C54" s="126">
        <v>7943.44</v>
      </c>
      <c r="D54" s="294"/>
    </row>
    <row r="55" spans="1:4" ht="15.6" thickBot="1" x14ac:dyDescent="0.35">
      <c r="A55" s="284"/>
      <c r="B55" s="127" t="s">
        <v>235</v>
      </c>
      <c r="C55" s="128">
        <v>3593.92</v>
      </c>
      <c r="D55" s="295"/>
    </row>
  </sheetData>
  <mergeCells count="21">
    <mergeCell ref="E41:E42"/>
    <mergeCell ref="D43:D44"/>
    <mergeCell ref="A50:A51"/>
    <mergeCell ref="D50:D51"/>
    <mergeCell ref="A53:A55"/>
    <mergeCell ref="D53:D55"/>
    <mergeCell ref="A38:A48"/>
    <mergeCell ref="D38:D39"/>
    <mergeCell ref="D41:D42"/>
    <mergeCell ref="A21:A22"/>
    <mergeCell ref="D21:D22"/>
    <mergeCell ref="A26:A32"/>
    <mergeCell ref="D26:D32"/>
    <mergeCell ref="A34:A36"/>
    <mergeCell ref="A18:A19"/>
    <mergeCell ref="D18:D19"/>
    <mergeCell ref="A1:D1"/>
    <mergeCell ref="A3:A5"/>
    <mergeCell ref="D4:D5"/>
    <mergeCell ref="A7:A16"/>
    <mergeCell ref="D7:D16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8C64C-BD8B-4351-BF7A-A3B4D09FBDE4}">
  <sheetPr>
    <tabColor theme="5"/>
  </sheetPr>
  <dimension ref="A1:K3"/>
  <sheetViews>
    <sheetView workbookViewId="0">
      <selection activeCell="B3" sqref="B3"/>
    </sheetView>
  </sheetViews>
  <sheetFormatPr defaultColWidth="9.109375" defaultRowHeight="15" x14ac:dyDescent="0.3"/>
  <cols>
    <col min="1" max="1" width="51.6640625" style="66" bestFit="1" customWidth="1"/>
    <col min="2" max="2" width="86.109375" style="66" bestFit="1" customWidth="1"/>
    <col min="3" max="3" width="29.88671875" style="66" customWidth="1"/>
    <col min="4" max="4" width="16.44140625" style="120" customWidth="1"/>
    <col min="5" max="5" width="51.109375" style="66" bestFit="1" customWidth="1"/>
    <col min="6" max="8" width="9.109375" style="66"/>
    <col min="9" max="9" width="12" style="66" customWidth="1"/>
    <col min="10" max="16384" width="9.109375" style="66"/>
  </cols>
  <sheetData>
    <row r="1" spans="1:11" ht="16.2" thickBot="1" x14ac:dyDescent="0.35">
      <c r="A1" s="272" t="s">
        <v>236</v>
      </c>
      <c r="B1" s="273"/>
      <c r="C1" s="273"/>
      <c r="D1" s="274"/>
    </row>
    <row r="2" spans="1:11" ht="16.2" thickBot="1" x14ac:dyDescent="0.35">
      <c r="A2" s="31" t="s">
        <v>62</v>
      </c>
      <c r="B2" s="78" t="s">
        <v>63</v>
      </c>
      <c r="C2" s="79" t="s">
        <v>64</v>
      </c>
      <c r="D2" s="80" t="s">
        <v>139</v>
      </c>
    </row>
    <row r="3" spans="1:11" ht="15.6" thickBot="1" x14ac:dyDescent="0.3">
      <c r="A3" s="157" t="s">
        <v>24</v>
      </c>
      <c r="B3" s="150" t="s">
        <v>231</v>
      </c>
      <c r="C3" s="151">
        <f>6*10</f>
        <v>60</v>
      </c>
      <c r="D3" s="152">
        <v>43384</v>
      </c>
      <c r="E3" s="106"/>
      <c r="F3" s="106"/>
      <c r="G3" s="106"/>
      <c r="H3" s="106"/>
      <c r="I3" s="106"/>
      <c r="J3" s="106"/>
      <c r="K3" s="106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0BC5-9954-411F-83FA-21D5580173DA}">
  <sheetPr>
    <tabColor theme="9" tint="0.59999389629810485"/>
  </sheetPr>
  <dimension ref="A1:R35"/>
  <sheetViews>
    <sheetView showGridLines="0" workbookViewId="0">
      <selection activeCell="D10" sqref="D10"/>
    </sheetView>
  </sheetViews>
  <sheetFormatPr defaultColWidth="0" defaultRowHeight="14.4" zeroHeight="1" x14ac:dyDescent="0.3"/>
  <cols>
    <col min="1" max="1" width="2.6640625" customWidth="1"/>
    <col min="2" max="2" width="9.6640625" bestFit="1" customWidth="1"/>
    <col min="3" max="9" width="12.6640625" customWidth="1"/>
    <col min="10" max="10" width="2.6640625" customWidth="1"/>
    <col min="11" max="18" width="0" hidden="1" customWidth="1"/>
    <col min="19" max="16384" width="8.88671875" hidden="1"/>
  </cols>
  <sheetData>
    <row r="1" spans="1:10" ht="18" x14ac:dyDescent="0.35">
      <c r="A1" s="245" t="s">
        <v>447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0" x14ac:dyDescent="0.3"/>
    <row r="3" spans="1:10" x14ac:dyDescent="0.3">
      <c r="B3" s="13" t="s">
        <v>52</v>
      </c>
      <c r="C3" s="8" t="s">
        <v>448</v>
      </c>
      <c r="D3" s="8" t="s">
        <v>449</v>
      </c>
      <c r="E3" s="10" t="s">
        <v>450</v>
      </c>
      <c r="F3" s="8" t="s">
        <v>451</v>
      </c>
      <c r="G3" s="10" t="s">
        <v>452</v>
      </c>
      <c r="H3" s="8" t="s">
        <v>453</v>
      </c>
      <c r="I3" s="8" t="s">
        <v>454</v>
      </c>
    </row>
    <row r="4" spans="1:10" x14ac:dyDescent="0.3">
      <c r="B4" s="9" t="s">
        <v>0</v>
      </c>
      <c r="C4" s="9"/>
      <c r="D4" s="11"/>
      <c r="E4" s="11"/>
      <c r="F4" s="11"/>
      <c r="G4" s="11"/>
      <c r="H4" s="11"/>
      <c r="I4" s="11"/>
    </row>
    <row r="5" spans="1:10" x14ac:dyDescent="0.3">
      <c r="B5" s="9" t="s">
        <v>4</v>
      </c>
      <c r="C5" s="9"/>
      <c r="D5" s="11"/>
      <c r="E5" s="11">
        <f>SUM('CTs-A Descontar'!D2:D5)</f>
        <v>26740</v>
      </c>
      <c r="F5" s="11"/>
      <c r="G5" s="11"/>
      <c r="H5" s="11"/>
      <c r="I5" s="11"/>
    </row>
    <row r="6" spans="1:10" x14ac:dyDescent="0.3">
      <c r="B6" s="9" t="s">
        <v>6</v>
      </c>
      <c r="C6" s="9"/>
      <c r="D6" s="11"/>
      <c r="E6" s="11"/>
      <c r="F6" s="11"/>
      <c r="G6" s="11">
        <f>SUM('CTs-A Descontar'!D22:D40)</f>
        <v>340862.06</v>
      </c>
      <c r="H6" s="11">
        <f>SUM('CTs-A Descontar'!D6:D21)</f>
        <v>138299.86000000002</v>
      </c>
      <c r="I6" s="11"/>
    </row>
    <row r="7" spans="1:10" x14ac:dyDescent="0.3">
      <c r="B7" s="9" t="s">
        <v>7</v>
      </c>
      <c r="C7" s="9"/>
      <c r="D7" s="11"/>
      <c r="E7" s="11"/>
      <c r="F7" s="11"/>
      <c r="G7" s="11"/>
      <c r="H7" s="11"/>
      <c r="I7" s="11"/>
    </row>
    <row r="8" spans="1:10" x14ac:dyDescent="0.3">
      <c r="B8" s="9" t="s">
        <v>8</v>
      </c>
      <c r="C8" s="9"/>
      <c r="D8" s="11"/>
      <c r="E8" s="11"/>
      <c r="F8" s="11"/>
      <c r="G8" s="11"/>
      <c r="H8" s="11"/>
      <c r="I8" s="11"/>
    </row>
    <row r="9" spans="1:10" x14ac:dyDescent="0.3">
      <c r="B9" s="9" t="s">
        <v>9</v>
      </c>
      <c r="C9" s="9"/>
      <c r="D9" s="11"/>
      <c r="E9" s="11"/>
      <c r="F9" s="11"/>
      <c r="G9" s="11"/>
      <c r="H9" s="11"/>
      <c r="I9" s="11"/>
    </row>
    <row r="10" spans="1:10" x14ac:dyDescent="0.3">
      <c r="B10" s="9" t="s">
        <v>10</v>
      </c>
      <c r="C10" s="9"/>
      <c r="D10" s="11"/>
      <c r="E10" s="11"/>
      <c r="F10" s="11"/>
      <c r="G10" s="11"/>
      <c r="H10" s="11">
        <f>SUM('CTs-A Descontar'!D41:D54)</f>
        <v>65633.58</v>
      </c>
      <c r="I10" s="11"/>
    </row>
    <row r="11" spans="1:10" x14ac:dyDescent="0.3">
      <c r="B11" s="9" t="s">
        <v>11</v>
      </c>
      <c r="C11" s="9"/>
      <c r="D11" s="11"/>
      <c r="E11" s="11"/>
      <c r="F11" s="11"/>
      <c r="G11" s="11"/>
      <c r="H11" s="11"/>
      <c r="I11" s="11"/>
    </row>
    <row r="12" spans="1:10" x14ac:dyDescent="0.3">
      <c r="B12" s="9" t="s">
        <v>12</v>
      </c>
      <c r="C12" s="9"/>
      <c r="D12" s="11"/>
      <c r="E12" s="11"/>
      <c r="F12" s="11"/>
      <c r="G12" s="11"/>
      <c r="H12" s="11"/>
      <c r="I12" s="11"/>
    </row>
    <row r="13" spans="1:10" x14ac:dyDescent="0.3">
      <c r="B13" s="9" t="s">
        <v>13</v>
      </c>
      <c r="C13" s="9"/>
      <c r="D13" s="11"/>
      <c r="E13" s="11"/>
      <c r="F13" s="11"/>
      <c r="G13" s="11"/>
      <c r="H13" s="11"/>
      <c r="I13" s="11"/>
    </row>
    <row r="14" spans="1:10" x14ac:dyDescent="0.3">
      <c r="B14" s="9" t="s">
        <v>14</v>
      </c>
      <c r="C14" s="9"/>
      <c r="D14" s="11"/>
      <c r="E14" s="11"/>
      <c r="F14" s="11"/>
      <c r="G14" s="11">
        <f>SUM('CTs-A Descontar'!D63:D69)</f>
        <v>27920</v>
      </c>
      <c r="H14" s="11"/>
      <c r="I14" s="11">
        <f>SUM('CTs-A Descontar'!D55:D62)</f>
        <v>30634.590000000004</v>
      </c>
    </row>
    <row r="15" spans="1:10" x14ac:dyDescent="0.3">
      <c r="B15" s="9" t="s">
        <v>15</v>
      </c>
      <c r="C15" s="9"/>
      <c r="D15" s="11"/>
      <c r="E15" s="11"/>
      <c r="F15" s="11"/>
      <c r="G15" s="11"/>
      <c r="H15" s="11"/>
      <c r="I15" s="11"/>
    </row>
    <row r="16" spans="1:10" x14ac:dyDescent="0.3">
      <c r="B16" s="9" t="s">
        <v>16</v>
      </c>
      <c r="C16" s="9"/>
      <c r="D16" s="11"/>
      <c r="E16" s="11"/>
      <c r="F16" s="11"/>
      <c r="G16" s="11"/>
      <c r="H16" s="11"/>
      <c r="I16" s="11"/>
    </row>
    <row r="17" spans="2:9" x14ac:dyDescent="0.3">
      <c r="B17" s="9" t="s">
        <v>17</v>
      </c>
      <c r="C17" s="9"/>
      <c r="D17" s="11"/>
      <c r="E17" s="11"/>
      <c r="F17" s="11"/>
      <c r="G17" s="11"/>
      <c r="H17" s="11"/>
      <c r="I17" s="11"/>
    </row>
    <row r="18" spans="2:9" x14ac:dyDescent="0.3">
      <c r="B18" s="9" t="s">
        <v>19</v>
      </c>
      <c r="C18" s="9"/>
      <c r="D18" s="11"/>
      <c r="E18" s="11">
        <f>'CTs-A Descontar'!D70</f>
        <v>2480</v>
      </c>
      <c r="F18" s="11"/>
      <c r="G18" s="11"/>
      <c r="H18" s="11"/>
      <c r="I18" s="11"/>
    </row>
    <row r="19" spans="2:9" x14ac:dyDescent="0.3">
      <c r="B19" s="9" t="s">
        <v>20</v>
      </c>
      <c r="C19" s="9"/>
      <c r="D19" s="11"/>
      <c r="E19" s="11"/>
      <c r="F19" s="11"/>
      <c r="G19" s="11"/>
      <c r="H19" s="11"/>
      <c r="I19" s="11">
        <f>'CTs-A Descontar'!D71</f>
        <v>2499</v>
      </c>
    </row>
    <row r="20" spans="2:9" x14ac:dyDescent="0.3">
      <c r="B20" s="9" t="s">
        <v>21</v>
      </c>
      <c r="C20" s="215">
        <f>SUM('CTs-A Descontar'!D72:D74)</f>
        <v>1626.08</v>
      </c>
      <c r="D20" s="11"/>
      <c r="E20" s="11"/>
      <c r="F20" s="11"/>
      <c r="G20" s="11"/>
      <c r="H20" s="11"/>
      <c r="I20" s="11"/>
    </row>
    <row r="21" spans="2:9" x14ac:dyDescent="0.3">
      <c r="B21" s="9" t="s">
        <v>23</v>
      </c>
      <c r="C21" s="9"/>
      <c r="D21" s="11"/>
      <c r="E21" s="11"/>
      <c r="F21" s="11"/>
      <c r="G21" s="11">
        <f>SUM('CTs-A Descontar'!D75:D81)</f>
        <v>96983.507348837185</v>
      </c>
      <c r="H21" s="11"/>
      <c r="I21" s="11"/>
    </row>
    <row r="22" spans="2:9" x14ac:dyDescent="0.3">
      <c r="B22" s="9" t="s">
        <v>24</v>
      </c>
      <c r="C22" s="9"/>
      <c r="D22" s="11"/>
      <c r="E22" s="11"/>
      <c r="F22" s="11"/>
      <c r="G22" s="11"/>
      <c r="H22" s="11"/>
      <c r="I22" s="11"/>
    </row>
    <row r="23" spans="2:9" x14ac:dyDescent="0.3">
      <c r="B23" s="9" t="s">
        <v>25</v>
      </c>
      <c r="C23" s="9"/>
      <c r="D23" s="11"/>
      <c r="E23" s="11"/>
      <c r="F23" s="11"/>
      <c r="G23" s="11">
        <f>SUM('CTs-A Descontar'!D82:D91)</f>
        <v>19738.030000000002</v>
      </c>
      <c r="H23" s="11"/>
      <c r="I23" s="11"/>
    </row>
    <row r="24" spans="2:9" x14ac:dyDescent="0.3">
      <c r="B24" s="9" t="s">
        <v>26</v>
      </c>
      <c r="C24" s="9"/>
      <c r="D24" s="11"/>
      <c r="E24" s="11"/>
      <c r="F24" s="11"/>
      <c r="G24" s="11"/>
      <c r="H24" s="11"/>
      <c r="I24" s="11"/>
    </row>
    <row r="25" spans="2:9" x14ac:dyDescent="0.3">
      <c r="B25" s="9" t="s">
        <v>27</v>
      </c>
      <c r="C25" s="9"/>
      <c r="D25" s="11"/>
      <c r="E25" s="11"/>
      <c r="F25" s="11"/>
      <c r="G25" s="11"/>
      <c r="H25" s="11"/>
      <c r="I25" s="11"/>
    </row>
    <row r="26" spans="2:9" x14ac:dyDescent="0.3">
      <c r="B26" s="9" t="s">
        <v>28</v>
      </c>
      <c r="C26" s="9"/>
      <c r="D26" s="11"/>
      <c r="E26" s="11"/>
      <c r="F26" s="11"/>
      <c r="G26" s="11"/>
      <c r="H26" s="11"/>
      <c r="I26" s="11"/>
    </row>
    <row r="27" spans="2:9" x14ac:dyDescent="0.3">
      <c r="B27" s="9" t="s">
        <v>29</v>
      </c>
      <c r="C27" s="9"/>
      <c r="D27" s="11"/>
      <c r="E27" s="11"/>
      <c r="F27" s="11"/>
      <c r="G27" s="11"/>
      <c r="H27" s="11">
        <f>'CTs-A Descontar'!D92</f>
        <v>22800</v>
      </c>
      <c r="I27" s="11"/>
    </row>
    <row r="28" spans="2:9" x14ac:dyDescent="0.3">
      <c r="B28" s="9" t="s">
        <v>30</v>
      </c>
      <c r="C28" s="9"/>
      <c r="D28" s="11"/>
      <c r="E28" s="11"/>
      <c r="F28" s="11"/>
      <c r="G28" s="11"/>
      <c r="H28" s="11"/>
      <c r="I28" s="11"/>
    </row>
    <row r="29" spans="2:9" x14ac:dyDescent="0.3">
      <c r="B29" s="9" t="s">
        <v>31</v>
      </c>
      <c r="C29" s="215">
        <f>SUM('CTs-A Descontar'!D124:D141)+SUM('CTs-A Descontar'!D162:D182)</f>
        <v>171563.71999999997</v>
      </c>
      <c r="D29" s="11">
        <f>SUM('CTs-A Descontar'!D93:D106)+SUM('CTs-A Descontar'!D108:D122)+'CTs-A Descontar'!D143+SUM('CTs-A Descontar'!D148:D161)</f>
        <v>135976.44999999998</v>
      </c>
      <c r="E29" s="11">
        <f>'CTs-A Descontar'!D107+'CTs-A Descontar'!D123</f>
        <v>24440.6</v>
      </c>
      <c r="F29" s="11">
        <f>'CTs-A Descontar'!D142</f>
        <v>4650</v>
      </c>
      <c r="G29" s="11">
        <f>SUM('CTs-A Descontar'!D144:D147)</f>
        <v>6794.65</v>
      </c>
      <c r="H29" s="11"/>
      <c r="I29" s="11"/>
    </row>
    <row r="30" spans="2:9" x14ac:dyDescent="0.3">
      <c r="B30" s="9" t="s">
        <v>32</v>
      </c>
      <c r="C30" s="9"/>
      <c r="D30" s="11"/>
      <c r="E30" s="11"/>
      <c r="F30" s="11"/>
      <c r="G30" s="11"/>
      <c r="H30" s="11"/>
      <c r="I30" s="11"/>
    </row>
    <row r="31" spans="2:9" x14ac:dyDescent="0.3"/>
    <row r="32" spans="2:9" x14ac:dyDescent="0.3"/>
    <row r="33" x14ac:dyDescent="0.3"/>
    <row r="34" x14ac:dyDescent="0.3"/>
    <row r="35" x14ac:dyDescent="0.3"/>
  </sheetData>
  <mergeCells count="1">
    <mergeCell ref="A1:J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4B6E-1569-4AC2-8202-3AFFE54EDC18}">
  <sheetPr>
    <tabColor theme="2" tint="-9.9978637043366805E-2"/>
  </sheetPr>
  <dimension ref="A1:AF40"/>
  <sheetViews>
    <sheetView showGridLines="0" tabSelected="1" workbookViewId="0">
      <selection sqref="A1:I1"/>
    </sheetView>
  </sheetViews>
  <sheetFormatPr defaultColWidth="0" defaultRowHeight="14.4" zeroHeight="1" x14ac:dyDescent="0.3"/>
  <cols>
    <col min="1" max="1" width="2.6640625" customWidth="1"/>
    <col min="2" max="2" width="13.33203125" bestFit="1" customWidth="1"/>
    <col min="3" max="3" width="13.33203125" customWidth="1"/>
    <col min="4" max="8" width="20.6640625" customWidth="1"/>
    <col min="9" max="9" width="2.6640625" customWidth="1"/>
    <col min="10" max="32" width="0" hidden="1" customWidth="1"/>
    <col min="33" max="16384" width="8.88671875" hidden="1"/>
  </cols>
  <sheetData>
    <row r="1" spans="1:9" ht="18" x14ac:dyDescent="0.35">
      <c r="A1" s="244" t="s">
        <v>465</v>
      </c>
      <c r="B1" s="244"/>
      <c r="C1" s="244"/>
      <c r="D1" s="244"/>
      <c r="E1" s="244"/>
      <c r="F1" s="244"/>
      <c r="G1" s="244"/>
      <c r="H1" s="244"/>
      <c r="I1" s="244"/>
    </row>
    <row r="2" spans="1:9" x14ac:dyDescent="0.3"/>
    <row r="3" spans="1:9" ht="28.8" x14ac:dyDescent="0.3">
      <c r="B3" s="220" t="s">
        <v>62</v>
      </c>
      <c r="C3" s="221" t="s">
        <v>490</v>
      </c>
      <c r="D3" s="221" t="s">
        <v>462</v>
      </c>
      <c r="E3" s="221" t="s">
        <v>463</v>
      </c>
      <c r="F3" s="221" t="s">
        <v>479</v>
      </c>
      <c r="G3" s="221" t="s">
        <v>491</v>
      </c>
      <c r="H3" s="222" t="s">
        <v>464</v>
      </c>
    </row>
    <row r="4" spans="1:9" x14ac:dyDescent="0.3">
      <c r="B4" s="223" t="s">
        <v>0</v>
      </c>
      <c r="C4" s="231" t="s">
        <v>488</v>
      </c>
      <c r="D4" s="224">
        <f>SUM(CONSOLIDADO!C4:I4)</f>
        <v>0</v>
      </c>
      <c r="E4" s="224">
        <f>SUM(CONSOLIDADO!J4:P4)</f>
        <v>0</v>
      </c>
      <c r="F4" s="224">
        <f>D4+E4</f>
        <v>0</v>
      </c>
      <c r="G4" s="224">
        <f>SUM(CONSOLIDADO!X4:AD4)</f>
        <v>89.050000000000011</v>
      </c>
      <c r="H4" s="225">
        <f>(G4-F4)*(IF(C4="INATIVA",0,1))</f>
        <v>0</v>
      </c>
    </row>
    <row r="5" spans="1:9" x14ac:dyDescent="0.3">
      <c r="B5" s="226" t="s">
        <v>4</v>
      </c>
      <c r="C5" s="232" t="s">
        <v>489</v>
      </c>
      <c r="D5" s="227">
        <f>SUM(CONSOLIDADO!C5:I5)</f>
        <v>29649.312000000002</v>
      </c>
      <c r="E5" s="227">
        <f>SUM(CONSOLIDADO!J5:P5)</f>
        <v>21072.239999999998</v>
      </c>
      <c r="F5" s="227">
        <f t="shared" ref="F5:F30" si="0">D5+E5</f>
        <v>50721.551999999996</v>
      </c>
      <c r="G5" s="227">
        <f>SUM(CONSOLIDADO!X5:AD5)</f>
        <v>5150.3500000000004</v>
      </c>
      <c r="H5" s="225">
        <f t="shared" ref="H5:H30" si="1">(G5-F5)*(IF(C5="INATIVA",0,1))</f>
        <v>-45571.201999999997</v>
      </c>
    </row>
    <row r="6" spans="1:9" x14ac:dyDescent="0.3">
      <c r="B6" s="223" t="s">
        <v>6</v>
      </c>
      <c r="C6" s="231" t="s">
        <v>489</v>
      </c>
      <c r="D6" s="224">
        <f>SUM(CONSOLIDADO!C6:I6)</f>
        <v>499924.2760960001</v>
      </c>
      <c r="E6" s="224">
        <f>SUM(CONSOLIDADO!J6:P6)</f>
        <v>8692.1555000000008</v>
      </c>
      <c r="F6" s="224">
        <f t="shared" si="0"/>
        <v>508616.4315960001</v>
      </c>
      <c r="G6" s="224">
        <f>SUM(CONSOLIDADO!X6:AD6)</f>
        <v>34877.037499999999</v>
      </c>
      <c r="H6" s="225">
        <f t="shared" si="1"/>
        <v>-473739.39409600012</v>
      </c>
    </row>
    <row r="7" spans="1:9" x14ac:dyDescent="0.3">
      <c r="B7" s="226" t="s">
        <v>7</v>
      </c>
      <c r="C7" s="232" t="s">
        <v>489</v>
      </c>
      <c r="D7" s="227">
        <f>SUM(CONSOLIDADO!C7:I7)</f>
        <v>0</v>
      </c>
      <c r="E7" s="227">
        <f>SUM(CONSOLIDADO!J7:P7)</f>
        <v>51286.072</v>
      </c>
      <c r="F7" s="227">
        <f t="shared" si="0"/>
        <v>51286.072</v>
      </c>
      <c r="G7" s="227">
        <f>SUM(CONSOLIDADO!X7:AD7)</f>
        <v>12755.1</v>
      </c>
      <c r="H7" s="225">
        <f t="shared" si="1"/>
        <v>-38530.972000000002</v>
      </c>
    </row>
    <row r="8" spans="1:9" x14ac:dyDescent="0.3">
      <c r="B8" s="223" t="s">
        <v>8</v>
      </c>
      <c r="C8" s="231" t="s">
        <v>488</v>
      </c>
      <c r="D8" s="224">
        <f>SUM(CONSOLIDADO!C8:I8)</f>
        <v>0</v>
      </c>
      <c r="E8" s="224">
        <f>SUM(CONSOLIDADO!J8:P8)</f>
        <v>33438</v>
      </c>
      <c r="F8" s="224">
        <f t="shared" si="0"/>
        <v>33438</v>
      </c>
      <c r="G8" s="224">
        <f>SUM(CONSOLIDADO!X8:AD8)</f>
        <v>9787.8000000000011</v>
      </c>
      <c r="H8" s="225">
        <f t="shared" si="1"/>
        <v>0</v>
      </c>
    </row>
    <row r="9" spans="1:9" x14ac:dyDescent="0.3">
      <c r="B9" s="226" t="s">
        <v>9</v>
      </c>
      <c r="C9" s="232" t="s">
        <v>489</v>
      </c>
      <c r="D9" s="227">
        <f>SUM(CONSOLIDADO!C9:I9)</f>
        <v>0</v>
      </c>
      <c r="E9" s="227">
        <f>SUM(CONSOLIDADO!J9:P9)</f>
        <v>20122.487600000004</v>
      </c>
      <c r="F9" s="227">
        <f t="shared" si="0"/>
        <v>20122.487600000004</v>
      </c>
      <c r="G9" s="227">
        <f>SUM(CONSOLIDADO!X9:AD9)</f>
        <v>35055.127500000002</v>
      </c>
      <c r="H9" s="225">
        <f t="shared" si="1"/>
        <v>14932.639899999998</v>
      </c>
    </row>
    <row r="10" spans="1:9" x14ac:dyDescent="0.3">
      <c r="B10" s="223" t="s">
        <v>10</v>
      </c>
      <c r="C10" s="231" t="s">
        <v>489</v>
      </c>
      <c r="D10" s="224">
        <f>SUM(CONSOLIDADO!C10:I10)</f>
        <v>70569.225216000006</v>
      </c>
      <c r="E10" s="224">
        <f>SUM(CONSOLIDADO!J10:P10)</f>
        <v>43111.023999999998</v>
      </c>
      <c r="F10" s="224">
        <f t="shared" si="0"/>
        <v>113680.249216</v>
      </c>
      <c r="G10" s="224">
        <f>SUM(CONSOLIDADO!X10:AD10)</f>
        <v>18240.580000000002</v>
      </c>
      <c r="H10" s="225">
        <f t="shared" si="1"/>
        <v>-95439.669215999995</v>
      </c>
    </row>
    <row r="11" spans="1:9" x14ac:dyDescent="0.3">
      <c r="B11" s="226" t="s">
        <v>11</v>
      </c>
      <c r="C11" s="232" t="s">
        <v>489</v>
      </c>
      <c r="D11" s="227">
        <f>SUM(CONSOLIDADO!C11:I11)</f>
        <v>0</v>
      </c>
      <c r="E11" s="227">
        <f>SUM(CONSOLIDADO!J11:P11)</f>
        <v>238.62400000000002</v>
      </c>
      <c r="F11" s="227">
        <f t="shared" si="0"/>
        <v>238.62400000000002</v>
      </c>
      <c r="G11" s="227">
        <f>SUM(CONSOLIDADO!X11:AD11)</f>
        <v>20795.415000000001</v>
      </c>
      <c r="H11" s="225">
        <f t="shared" si="1"/>
        <v>20556.791000000001</v>
      </c>
    </row>
    <row r="12" spans="1:9" x14ac:dyDescent="0.3">
      <c r="B12" s="223" t="s">
        <v>12</v>
      </c>
      <c r="C12" s="231" t="s">
        <v>489</v>
      </c>
      <c r="D12" s="224">
        <f>SUM(CONSOLIDADO!C12:I12)</f>
        <v>0</v>
      </c>
      <c r="E12" s="224">
        <f>SUM(CONSOLIDADO!J12:P12)</f>
        <v>0</v>
      </c>
      <c r="F12" s="224">
        <f t="shared" si="0"/>
        <v>0</v>
      </c>
      <c r="G12" s="224">
        <f>SUM(CONSOLIDADO!X12:AD12)</f>
        <v>13149.86</v>
      </c>
      <c r="H12" s="225">
        <f t="shared" si="1"/>
        <v>13149.86</v>
      </c>
    </row>
    <row r="13" spans="1:9" x14ac:dyDescent="0.3">
      <c r="B13" s="226" t="s">
        <v>13</v>
      </c>
      <c r="C13" s="232" t="s">
        <v>489</v>
      </c>
      <c r="D13" s="227">
        <f>SUM(CONSOLIDADO!C13:I13)</f>
        <v>0</v>
      </c>
      <c r="E13" s="227">
        <f>SUM(CONSOLIDADO!J13:P13)</f>
        <v>2288.16</v>
      </c>
      <c r="F13" s="227">
        <f t="shared" si="0"/>
        <v>2288.16</v>
      </c>
      <c r="G13" s="227">
        <f>SUM(CONSOLIDADO!X13:AD13)</f>
        <v>10184.970000000001</v>
      </c>
      <c r="H13" s="225">
        <f t="shared" si="1"/>
        <v>7896.8100000000013</v>
      </c>
    </row>
    <row r="14" spans="1:9" x14ac:dyDescent="0.3">
      <c r="B14" s="223" t="s">
        <v>14</v>
      </c>
      <c r="C14" s="231" t="s">
        <v>489</v>
      </c>
      <c r="D14" s="224">
        <f>SUM(CONSOLIDADO!C14:I14)</f>
        <v>59403.358000000007</v>
      </c>
      <c r="E14" s="224">
        <f>SUM(CONSOLIDADO!J14:P14)</f>
        <v>29229.2392</v>
      </c>
      <c r="F14" s="224">
        <f t="shared" si="0"/>
        <v>88632.597200000004</v>
      </c>
      <c r="G14" s="224">
        <f>SUM(CONSOLIDADO!X14:AD14)</f>
        <v>19535.82</v>
      </c>
      <c r="H14" s="225">
        <f t="shared" si="1"/>
        <v>-69096.777200000011</v>
      </c>
    </row>
    <row r="15" spans="1:9" x14ac:dyDescent="0.3">
      <c r="B15" s="226" t="s">
        <v>15</v>
      </c>
      <c r="C15" s="232" t="s">
        <v>489</v>
      </c>
      <c r="D15" s="227">
        <f>SUM(CONSOLIDADO!C15:I15)</f>
        <v>0</v>
      </c>
      <c r="E15" s="227">
        <f>SUM(CONSOLIDADO!J15:P15)</f>
        <v>1848</v>
      </c>
      <c r="F15" s="227">
        <f t="shared" si="0"/>
        <v>1848</v>
      </c>
      <c r="G15" s="227">
        <f>SUM(CONSOLIDADO!X15:AD15)</f>
        <v>28220.224999999999</v>
      </c>
      <c r="H15" s="225">
        <f t="shared" si="1"/>
        <v>26372.224999999999</v>
      </c>
    </row>
    <row r="16" spans="1:9" x14ac:dyDescent="0.3">
      <c r="B16" s="223" t="s">
        <v>16</v>
      </c>
      <c r="C16" s="231" t="s">
        <v>489</v>
      </c>
      <c r="D16" s="224">
        <f>SUM(CONSOLIDADO!C16:I16)</f>
        <v>0</v>
      </c>
      <c r="E16" s="224">
        <f>SUM(CONSOLIDADO!J16:P16)</f>
        <v>35996.578399999999</v>
      </c>
      <c r="F16" s="224">
        <f t="shared" si="0"/>
        <v>35996.578399999999</v>
      </c>
      <c r="G16" s="224">
        <f>SUM(CONSOLIDADO!X16:AD16)</f>
        <v>8229.2474999999995</v>
      </c>
      <c r="H16" s="225">
        <f t="shared" si="1"/>
        <v>-27767.330900000001</v>
      </c>
    </row>
    <row r="17" spans="2:8" x14ac:dyDescent="0.3">
      <c r="B17" s="226" t="s">
        <v>17</v>
      </c>
      <c r="C17" s="232" t="s">
        <v>489</v>
      </c>
      <c r="D17" s="227">
        <f>SUM(CONSOLIDADO!C17:I17)</f>
        <v>0</v>
      </c>
      <c r="E17" s="227">
        <f>SUM(CONSOLIDADO!J17:P17)</f>
        <v>38551.220000000008</v>
      </c>
      <c r="F17" s="227">
        <f t="shared" si="0"/>
        <v>38551.220000000008</v>
      </c>
      <c r="G17" s="227">
        <f>SUM(CONSOLIDADO!X17:AD17)</f>
        <v>43511.560000000005</v>
      </c>
      <c r="H17" s="225">
        <f t="shared" si="1"/>
        <v>4960.3399999999965</v>
      </c>
    </row>
    <row r="18" spans="2:8" x14ac:dyDescent="0.3">
      <c r="B18" s="223" t="s">
        <v>19</v>
      </c>
      <c r="C18" s="231" t="s">
        <v>488</v>
      </c>
      <c r="D18" s="224">
        <f>SUM(CONSOLIDADO!C18:I18)</f>
        <v>2749.8240000000001</v>
      </c>
      <c r="E18" s="224">
        <f>SUM(CONSOLIDADO!J18:P18)</f>
        <v>15983.2</v>
      </c>
      <c r="F18" s="224">
        <f t="shared" si="0"/>
        <v>18733.024000000001</v>
      </c>
      <c r="G18" s="224">
        <f>SUM(CONSOLIDADO!X18:AD18)</f>
        <v>3534.5</v>
      </c>
      <c r="H18" s="225">
        <f t="shared" si="1"/>
        <v>0</v>
      </c>
    </row>
    <row r="19" spans="2:8" x14ac:dyDescent="0.3">
      <c r="B19" s="226" t="s">
        <v>20</v>
      </c>
      <c r="C19" s="232" t="s">
        <v>489</v>
      </c>
      <c r="D19" s="227">
        <f>SUM(CONSOLIDADO!C19:I19)</f>
        <v>2499</v>
      </c>
      <c r="E19" s="227">
        <f>SUM(CONSOLIDADO!J19:P19)</f>
        <v>19228</v>
      </c>
      <c r="F19" s="227">
        <f t="shared" si="0"/>
        <v>21727</v>
      </c>
      <c r="G19" s="227">
        <f>SUM(CONSOLIDADO!X19:AD19)</f>
        <v>84609.477499999994</v>
      </c>
      <c r="H19" s="225">
        <f t="shared" si="1"/>
        <v>62882.477499999994</v>
      </c>
    </row>
    <row r="20" spans="2:8" x14ac:dyDescent="0.3">
      <c r="B20" s="223" t="s">
        <v>21</v>
      </c>
      <c r="C20" s="231" t="s">
        <v>489</v>
      </c>
      <c r="D20" s="224">
        <f>SUM(CONSOLIDADO!C20:I20)</f>
        <v>1791.9401599999999</v>
      </c>
      <c r="E20" s="224">
        <f>SUM(CONSOLIDADO!J20:P20)</f>
        <v>56033.196199999998</v>
      </c>
      <c r="F20" s="224">
        <f t="shared" si="0"/>
        <v>57825.136359999997</v>
      </c>
      <c r="G20" s="224">
        <f>SUM(CONSOLIDADO!X20:AD20)</f>
        <v>22490.072500000002</v>
      </c>
      <c r="H20" s="225">
        <f t="shared" si="1"/>
        <v>-35335.063859999995</v>
      </c>
    </row>
    <row r="21" spans="2:8" x14ac:dyDescent="0.3">
      <c r="B21" s="226" t="s">
        <v>23</v>
      </c>
      <c r="C21" s="232" t="s">
        <v>489</v>
      </c>
      <c r="D21" s="227">
        <f>SUM(CONSOLIDADO!C21:I21)</f>
        <v>99931.805972241855</v>
      </c>
      <c r="E21" s="227">
        <f>SUM(CONSOLIDADO!J21:P21)</f>
        <v>23071.200000000001</v>
      </c>
      <c r="F21" s="227">
        <f t="shared" si="0"/>
        <v>123003.00597224185</v>
      </c>
      <c r="G21" s="227">
        <f>SUM(CONSOLIDADO!X21:AD21)</f>
        <v>185341.5675</v>
      </c>
      <c r="H21" s="225">
        <f t="shared" si="1"/>
        <v>62338.561527758153</v>
      </c>
    </row>
    <row r="22" spans="2:8" x14ac:dyDescent="0.3">
      <c r="B22" s="223" t="s">
        <v>24</v>
      </c>
      <c r="C22" s="231" t="s">
        <v>489</v>
      </c>
      <c r="D22" s="224">
        <f>SUM(CONSOLIDADO!C22:I22)</f>
        <v>0</v>
      </c>
      <c r="E22" s="224">
        <f>SUM(CONSOLIDADO!J22:P22)</f>
        <v>68800.301600000006</v>
      </c>
      <c r="F22" s="224">
        <f t="shared" si="0"/>
        <v>68800.301600000006</v>
      </c>
      <c r="G22" s="224">
        <f>SUM(CONSOLIDADO!X22:AD22)</f>
        <v>81314.862000000008</v>
      </c>
      <c r="H22" s="225">
        <f t="shared" si="1"/>
        <v>12514.560400000002</v>
      </c>
    </row>
    <row r="23" spans="2:8" x14ac:dyDescent="0.3">
      <c r="B23" s="226" t="s">
        <v>25</v>
      </c>
      <c r="C23" s="232" t="s">
        <v>489</v>
      </c>
      <c r="D23" s="227">
        <f>SUM(CONSOLIDADO!C23:I23)</f>
        <v>20338.066112000004</v>
      </c>
      <c r="E23" s="227">
        <f>SUM(CONSOLIDADO!J23:P23)</f>
        <v>22287.434399999998</v>
      </c>
      <c r="F23" s="227">
        <f t="shared" si="0"/>
        <v>42625.500511999999</v>
      </c>
      <c r="G23" s="227">
        <f>SUM(CONSOLIDADO!X23:AD23)</f>
        <v>16984.387500000001</v>
      </c>
      <c r="H23" s="225">
        <f t="shared" si="1"/>
        <v>-25641.113011999998</v>
      </c>
    </row>
    <row r="24" spans="2:8" x14ac:dyDescent="0.3">
      <c r="B24" s="223" t="s">
        <v>26</v>
      </c>
      <c r="C24" s="231" t="s">
        <v>489</v>
      </c>
      <c r="D24" s="224">
        <f>SUM(CONSOLIDADO!C24:I24)</f>
        <v>0</v>
      </c>
      <c r="E24" s="224">
        <f>SUM(CONSOLIDADO!J24:P24)</f>
        <v>0</v>
      </c>
      <c r="F24" s="224">
        <f t="shared" si="0"/>
        <v>0</v>
      </c>
      <c r="G24" s="224">
        <f>SUM(CONSOLIDADO!X24:AD24)</f>
        <v>3068.6625000000004</v>
      </c>
      <c r="H24" s="225">
        <f t="shared" si="1"/>
        <v>3068.6625000000004</v>
      </c>
    </row>
    <row r="25" spans="2:8" x14ac:dyDescent="0.3">
      <c r="B25" s="226" t="s">
        <v>27</v>
      </c>
      <c r="C25" s="232" t="s">
        <v>488</v>
      </c>
      <c r="D25" s="227">
        <f>SUM(CONSOLIDADO!C25:I25)</f>
        <v>0</v>
      </c>
      <c r="E25" s="227">
        <f>SUM(CONSOLIDADO!J25:P25)</f>
        <v>0</v>
      </c>
      <c r="F25" s="227">
        <f t="shared" si="0"/>
        <v>0</v>
      </c>
      <c r="G25" s="227">
        <f>SUM(CONSOLIDADO!X25:AD25)</f>
        <v>0</v>
      </c>
      <c r="H25" s="225">
        <f t="shared" si="1"/>
        <v>0</v>
      </c>
    </row>
    <row r="26" spans="2:8" x14ac:dyDescent="0.3">
      <c r="B26" s="223" t="s">
        <v>28</v>
      </c>
      <c r="C26" s="231" t="s">
        <v>489</v>
      </c>
      <c r="D26" s="224">
        <f>SUM(CONSOLIDADO!C26:I26)</f>
        <v>0</v>
      </c>
      <c r="E26" s="224">
        <f>SUM(CONSOLIDADO!J26:P26)</f>
        <v>53916.878400000009</v>
      </c>
      <c r="F26" s="224">
        <f t="shared" si="0"/>
        <v>53916.878400000009</v>
      </c>
      <c r="G26" s="224">
        <f>SUM(CONSOLIDADO!X26:AD26)</f>
        <v>45215.74</v>
      </c>
      <c r="H26" s="225">
        <f t="shared" si="1"/>
        <v>-8701.1384000000107</v>
      </c>
    </row>
    <row r="27" spans="2:8" x14ac:dyDescent="0.3">
      <c r="B27" s="226" t="s">
        <v>29</v>
      </c>
      <c r="C27" s="232" t="s">
        <v>489</v>
      </c>
      <c r="D27" s="227">
        <f>SUM(CONSOLIDADO!C27:I27)</f>
        <v>24514.560000000001</v>
      </c>
      <c r="E27" s="227">
        <f>SUM(CONSOLIDADO!J27:P27)</f>
        <v>98632.888000000006</v>
      </c>
      <c r="F27" s="227">
        <f t="shared" si="0"/>
        <v>123147.448</v>
      </c>
      <c r="G27" s="227">
        <f>SUM(CONSOLIDADO!X27:AD27)</f>
        <v>226216.42250000002</v>
      </c>
      <c r="H27" s="225">
        <f t="shared" si="1"/>
        <v>103068.97450000001</v>
      </c>
    </row>
    <row r="28" spans="2:8" x14ac:dyDescent="0.3">
      <c r="B28" s="223" t="s">
        <v>30</v>
      </c>
      <c r="C28" s="231" t="s">
        <v>489</v>
      </c>
      <c r="D28" s="224">
        <f>SUM(CONSOLIDADO!C28:I28)</f>
        <v>0</v>
      </c>
      <c r="E28" s="224">
        <f>SUM(CONSOLIDADO!J28:P28)</f>
        <v>31496.5792</v>
      </c>
      <c r="F28" s="224">
        <f t="shared" si="0"/>
        <v>31496.5792</v>
      </c>
      <c r="G28" s="224">
        <f>SUM(CONSOLIDADO!X28:AD28)</f>
        <v>15869.97</v>
      </c>
      <c r="H28" s="225">
        <f t="shared" si="1"/>
        <v>-15626.609200000001</v>
      </c>
    </row>
    <row r="29" spans="2:8" x14ac:dyDescent="0.3">
      <c r="B29" s="226" t="s">
        <v>31</v>
      </c>
      <c r="C29" s="232" t="s">
        <v>489</v>
      </c>
      <c r="D29" s="227">
        <f>SUM(CONSOLIDADO!C29:I29)</f>
        <v>377063.8332799999</v>
      </c>
      <c r="E29" s="227">
        <f>SUM(CONSOLIDADO!J29:P29)</f>
        <v>8526.48</v>
      </c>
      <c r="F29" s="227">
        <f t="shared" si="0"/>
        <v>385590.31327999989</v>
      </c>
      <c r="G29" s="227">
        <f>SUM(CONSOLIDADO!X29:AD29)</f>
        <v>201016.75200000001</v>
      </c>
      <c r="H29" s="225">
        <f t="shared" si="1"/>
        <v>-184573.56127999988</v>
      </c>
    </row>
    <row r="30" spans="2:8" x14ac:dyDescent="0.3">
      <c r="B30" s="228" t="s">
        <v>32</v>
      </c>
      <c r="C30" s="233" t="s">
        <v>488</v>
      </c>
      <c r="D30" s="229">
        <f>SUM(CONSOLIDADO!C30:I30)</f>
        <v>0</v>
      </c>
      <c r="E30" s="229">
        <f>SUM(CONSOLIDADO!J30:P30)</f>
        <v>0</v>
      </c>
      <c r="F30" s="229">
        <f t="shared" si="0"/>
        <v>0</v>
      </c>
      <c r="G30" s="229">
        <f>SUM(CONSOLIDADO!X30:AD30)</f>
        <v>0</v>
      </c>
      <c r="H30" s="225">
        <f t="shared" si="1"/>
        <v>0</v>
      </c>
    </row>
    <row r="31" spans="2:8" x14ac:dyDescent="0.3">
      <c r="H31" s="217">
        <f>SUM(H4:H30)</f>
        <v>-688280.92883624206</v>
      </c>
    </row>
    <row r="32" spans="2:8" x14ac:dyDescent="0.3"/>
    <row r="33" x14ac:dyDescent="0.3"/>
    <row r="34" x14ac:dyDescent="0.3"/>
    <row r="35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</sheetData>
  <autoFilter ref="B3:H3" xr:uid="{22632052-0FFC-43B5-82D4-C0AD874746F2}"/>
  <mergeCells count="1">
    <mergeCell ref="A1:I1"/>
  </mergeCells>
  <conditionalFormatting sqref="H4:H30">
    <cfRule type="cellIs" dxfId="4" priority="1" operator="equal">
      <formula>0</formula>
    </cfRule>
    <cfRule type="cellIs" dxfId="3" priority="2" operator="greaterThan">
      <formula>0</formula>
    </cfRule>
    <cfRule type="cellIs" dxfId="2" priority="3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91B9B-4E70-40B5-936F-C53EC22D83D2}">
  <sheetPr>
    <tabColor theme="9"/>
  </sheetPr>
  <dimension ref="A1:L197"/>
  <sheetViews>
    <sheetView topLeftCell="A168" zoomScale="85" zoomScaleNormal="85" workbookViewId="0">
      <selection activeCell="B181" sqref="B181"/>
    </sheetView>
  </sheetViews>
  <sheetFormatPr defaultColWidth="9.109375" defaultRowHeight="15" x14ac:dyDescent="0.3"/>
  <cols>
    <col min="1" max="1" width="11.44140625" style="66" bestFit="1" customWidth="1"/>
    <col min="2" max="2" width="59.33203125" style="158" customWidth="1"/>
    <col min="3" max="3" width="15.44140625" style="66" customWidth="1"/>
    <col min="4" max="4" width="13.33203125" style="159" bestFit="1" customWidth="1"/>
    <col min="5" max="5" width="16" style="120" bestFit="1" customWidth="1"/>
    <col min="6" max="6" width="24.6640625" style="158" customWidth="1"/>
    <col min="7" max="7" width="73.6640625" style="158" customWidth="1"/>
    <col min="8" max="8" width="35.6640625" style="158" customWidth="1"/>
    <col min="9" max="9" width="15.33203125" style="66" customWidth="1"/>
    <col min="10" max="10" width="30.88671875" style="66" customWidth="1"/>
    <col min="11" max="16384" width="9.109375" style="66"/>
  </cols>
  <sheetData>
    <row r="1" spans="1:10" x14ac:dyDescent="0.3">
      <c r="A1" s="214" t="s">
        <v>62</v>
      </c>
      <c r="B1" s="212" t="s">
        <v>446</v>
      </c>
      <c r="C1" s="212" t="s">
        <v>63</v>
      </c>
      <c r="D1" s="213" t="s">
        <v>64</v>
      </c>
      <c r="E1" s="212" t="s">
        <v>139</v>
      </c>
      <c r="F1" s="212" t="s">
        <v>445</v>
      </c>
      <c r="G1" s="212" t="s">
        <v>444</v>
      </c>
      <c r="H1" s="212" t="s">
        <v>443</v>
      </c>
      <c r="I1" s="212" t="s">
        <v>442</v>
      </c>
      <c r="J1" s="212" t="s">
        <v>441</v>
      </c>
    </row>
    <row r="2" spans="1:10" ht="14.4" customHeight="1" x14ac:dyDescent="0.3">
      <c r="A2" s="190" t="s">
        <v>4</v>
      </c>
      <c r="B2" s="198" t="s">
        <v>440</v>
      </c>
      <c r="C2" s="201">
        <v>4</v>
      </c>
      <c r="D2" s="211">
        <v>1240</v>
      </c>
      <c r="E2" s="209">
        <v>2015</v>
      </c>
      <c r="F2" s="183" t="s">
        <v>241</v>
      </c>
      <c r="G2" s="182" t="s">
        <v>432</v>
      </c>
      <c r="H2" s="182" t="s">
        <v>431</v>
      </c>
      <c r="I2" s="199" t="s">
        <v>439</v>
      </c>
      <c r="J2" s="203" t="s">
        <v>438</v>
      </c>
    </row>
    <row r="3" spans="1:10" ht="14.4" customHeight="1" x14ac:dyDescent="0.3">
      <c r="A3" s="190" t="s">
        <v>4</v>
      </c>
      <c r="B3" s="182" t="s">
        <v>437</v>
      </c>
      <c r="C3" s="180">
        <v>5</v>
      </c>
      <c r="D3" s="193">
        <f>1900*5</f>
        <v>9500</v>
      </c>
      <c r="E3" s="209">
        <v>2015</v>
      </c>
      <c r="F3" s="183" t="s">
        <v>241</v>
      </c>
      <c r="G3" s="182" t="s">
        <v>432</v>
      </c>
      <c r="H3" s="182" t="s">
        <v>431</v>
      </c>
      <c r="I3" s="210">
        <v>87</v>
      </c>
      <c r="J3" s="180" t="s">
        <v>436</v>
      </c>
    </row>
    <row r="4" spans="1:10" s="124" customFormat="1" ht="14.4" customHeight="1" x14ac:dyDescent="0.3">
      <c r="A4" s="190" t="s">
        <v>4</v>
      </c>
      <c r="B4" s="182" t="s">
        <v>435</v>
      </c>
      <c r="C4" s="189">
        <v>9</v>
      </c>
      <c r="D4" s="193">
        <f>1200*9</f>
        <v>10800</v>
      </c>
      <c r="E4" s="209">
        <v>2015</v>
      </c>
      <c r="F4" s="183" t="s">
        <v>241</v>
      </c>
      <c r="G4" s="182" t="s">
        <v>432</v>
      </c>
      <c r="H4" s="182" t="s">
        <v>431</v>
      </c>
      <c r="I4" s="210"/>
      <c r="J4" s="180" t="s">
        <v>434</v>
      </c>
    </row>
    <row r="5" spans="1:10" s="124" customFormat="1" ht="14.4" customHeight="1" x14ac:dyDescent="0.3">
      <c r="A5" s="190" t="s">
        <v>4</v>
      </c>
      <c r="B5" s="182" t="s">
        <v>433</v>
      </c>
      <c r="C5" s="180">
        <v>8</v>
      </c>
      <c r="D5" s="193">
        <v>5200</v>
      </c>
      <c r="E5" s="209">
        <v>2015</v>
      </c>
      <c r="F5" s="183" t="s">
        <v>241</v>
      </c>
      <c r="G5" s="182" t="s">
        <v>432</v>
      </c>
      <c r="H5" s="182" t="s">
        <v>431</v>
      </c>
      <c r="I5" s="180" t="s">
        <v>430</v>
      </c>
      <c r="J5" s="180" t="s">
        <v>429</v>
      </c>
    </row>
    <row r="6" spans="1:10" s="124" customFormat="1" ht="14.4" customHeight="1" x14ac:dyDescent="0.3">
      <c r="A6" s="190" t="s">
        <v>6</v>
      </c>
      <c r="B6" s="198" t="s">
        <v>428</v>
      </c>
      <c r="C6" s="207" t="s">
        <v>421</v>
      </c>
      <c r="D6" s="196">
        <v>38400</v>
      </c>
      <c r="E6" s="202">
        <v>43137</v>
      </c>
      <c r="F6" s="183" t="s">
        <v>241</v>
      </c>
      <c r="G6" s="182" t="s">
        <v>393</v>
      </c>
      <c r="H6" s="182" t="s">
        <v>392</v>
      </c>
      <c r="I6" s="181" t="s">
        <v>279</v>
      </c>
      <c r="J6" s="180"/>
    </row>
    <row r="7" spans="1:10" s="124" customFormat="1" ht="14.4" customHeight="1" x14ac:dyDescent="0.3">
      <c r="A7" s="190" t="s">
        <v>6</v>
      </c>
      <c r="B7" s="198" t="s">
        <v>427</v>
      </c>
      <c r="C7" s="207" t="s">
        <v>421</v>
      </c>
      <c r="D7" s="196">
        <v>1152</v>
      </c>
      <c r="E7" s="202">
        <v>43137</v>
      </c>
      <c r="F7" s="183" t="s">
        <v>241</v>
      </c>
      <c r="G7" s="182" t="s">
        <v>393</v>
      </c>
      <c r="H7" s="182" t="s">
        <v>392</v>
      </c>
      <c r="I7" s="181" t="s">
        <v>279</v>
      </c>
      <c r="J7" s="180"/>
    </row>
    <row r="8" spans="1:10" s="124" customFormat="1" ht="14.4" customHeight="1" x14ac:dyDescent="0.3">
      <c r="A8" s="190" t="s">
        <v>6</v>
      </c>
      <c r="B8" s="198" t="s">
        <v>426</v>
      </c>
      <c r="C8" s="207" t="s">
        <v>414</v>
      </c>
      <c r="D8" s="196">
        <v>12480</v>
      </c>
      <c r="E8" s="202">
        <v>43137</v>
      </c>
      <c r="F8" s="183" t="s">
        <v>241</v>
      </c>
      <c r="G8" s="182" t="s">
        <v>393</v>
      </c>
      <c r="H8" s="182" t="s">
        <v>392</v>
      </c>
      <c r="I8" s="181" t="s">
        <v>279</v>
      </c>
      <c r="J8" s="180"/>
    </row>
    <row r="9" spans="1:10" s="124" customFormat="1" ht="14.4" customHeight="1" x14ac:dyDescent="0.3">
      <c r="A9" s="190" t="s">
        <v>6</v>
      </c>
      <c r="B9" s="198" t="s">
        <v>425</v>
      </c>
      <c r="C9" s="197">
        <v>12</v>
      </c>
      <c r="D9" s="187">
        <v>1920</v>
      </c>
      <c r="E9" s="202">
        <v>43137</v>
      </c>
      <c r="F9" s="183" t="s">
        <v>241</v>
      </c>
      <c r="G9" s="182" t="s">
        <v>393</v>
      </c>
      <c r="H9" s="182" t="s">
        <v>392</v>
      </c>
      <c r="I9" s="181" t="s">
        <v>279</v>
      </c>
      <c r="J9" s="180"/>
    </row>
    <row r="10" spans="1:10" s="124" customFormat="1" ht="14.4" customHeight="1" x14ac:dyDescent="0.3">
      <c r="A10" s="190" t="s">
        <v>6</v>
      </c>
      <c r="B10" s="198" t="s">
        <v>424</v>
      </c>
      <c r="C10" s="197">
        <v>6</v>
      </c>
      <c r="D10" s="191">
        <v>11520</v>
      </c>
      <c r="E10" s="202">
        <v>43137</v>
      </c>
      <c r="F10" s="183" t="s">
        <v>241</v>
      </c>
      <c r="G10" s="182" t="s">
        <v>393</v>
      </c>
      <c r="H10" s="182" t="s">
        <v>392</v>
      </c>
      <c r="I10" s="181" t="s">
        <v>279</v>
      </c>
      <c r="J10" s="180"/>
    </row>
    <row r="11" spans="1:10" s="124" customFormat="1" ht="14.4" customHeight="1" x14ac:dyDescent="0.3">
      <c r="A11" s="190" t="s">
        <v>6</v>
      </c>
      <c r="B11" s="198" t="s">
        <v>423</v>
      </c>
      <c r="C11" s="197">
        <v>6</v>
      </c>
      <c r="D11" s="194">
        <v>7680</v>
      </c>
      <c r="E11" s="202">
        <v>43137</v>
      </c>
      <c r="F11" s="183" t="s">
        <v>241</v>
      </c>
      <c r="G11" s="182" t="s">
        <v>393</v>
      </c>
      <c r="H11" s="182" t="s">
        <v>392</v>
      </c>
      <c r="I11" s="181" t="s">
        <v>279</v>
      </c>
      <c r="J11" s="180"/>
    </row>
    <row r="12" spans="1:10" s="124" customFormat="1" ht="14.4" customHeight="1" x14ac:dyDescent="0.3">
      <c r="A12" s="190" t="s">
        <v>6</v>
      </c>
      <c r="B12" s="208" t="s">
        <v>422</v>
      </c>
      <c r="C12" s="207" t="s">
        <v>421</v>
      </c>
      <c r="D12" s="194">
        <v>480</v>
      </c>
      <c r="E12" s="202">
        <v>43137</v>
      </c>
      <c r="F12" s="183" t="s">
        <v>241</v>
      </c>
      <c r="G12" s="182" t="s">
        <v>393</v>
      </c>
      <c r="H12" s="182" t="s">
        <v>392</v>
      </c>
      <c r="I12" s="181" t="s">
        <v>279</v>
      </c>
      <c r="J12" s="180"/>
    </row>
    <row r="13" spans="1:10" ht="14.4" customHeight="1" x14ac:dyDescent="0.3">
      <c r="A13" s="190" t="s">
        <v>6</v>
      </c>
      <c r="B13" s="198" t="s">
        <v>417</v>
      </c>
      <c r="C13" s="207" t="s">
        <v>401</v>
      </c>
      <c r="D13" s="194">
        <v>35000</v>
      </c>
      <c r="E13" s="202">
        <v>43137</v>
      </c>
      <c r="F13" s="183" t="s">
        <v>241</v>
      </c>
      <c r="G13" s="182" t="s">
        <v>393</v>
      </c>
      <c r="H13" s="182" t="s">
        <v>392</v>
      </c>
      <c r="I13" s="181" t="s">
        <v>376</v>
      </c>
      <c r="J13" s="180"/>
    </row>
    <row r="14" spans="1:10" ht="14.4" customHeight="1" x14ac:dyDescent="0.3">
      <c r="A14" s="190" t="s">
        <v>6</v>
      </c>
      <c r="B14" s="198" t="s">
        <v>415</v>
      </c>
      <c r="C14" s="207" t="s">
        <v>420</v>
      </c>
      <c r="D14" s="194">
        <v>5760</v>
      </c>
      <c r="E14" s="202">
        <v>43137</v>
      </c>
      <c r="F14" s="183" t="s">
        <v>241</v>
      </c>
      <c r="G14" s="182" t="s">
        <v>393</v>
      </c>
      <c r="H14" s="182" t="s">
        <v>392</v>
      </c>
      <c r="I14" s="181" t="s">
        <v>376</v>
      </c>
      <c r="J14" s="180"/>
    </row>
    <row r="15" spans="1:10" ht="14.4" customHeight="1" x14ac:dyDescent="0.3">
      <c r="A15" s="190" t="s">
        <v>6</v>
      </c>
      <c r="B15" s="198" t="s">
        <v>419</v>
      </c>
      <c r="C15" s="207" t="s">
        <v>335</v>
      </c>
      <c r="D15" s="194">
        <v>2304</v>
      </c>
      <c r="E15" s="202">
        <v>43137</v>
      </c>
      <c r="F15" s="183" t="s">
        <v>241</v>
      </c>
      <c r="G15" s="182" t="s">
        <v>393</v>
      </c>
      <c r="H15" s="182" t="s">
        <v>392</v>
      </c>
      <c r="I15" s="181" t="s">
        <v>376</v>
      </c>
      <c r="J15" s="180"/>
    </row>
    <row r="16" spans="1:10" ht="14.4" customHeight="1" x14ac:dyDescent="0.3">
      <c r="A16" s="190" t="s">
        <v>6</v>
      </c>
      <c r="B16" s="198" t="s">
        <v>270</v>
      </c>
      <c r="C16" s="197">
        <v>3</v>
      </c>
      <c r="D16" s="194">
        <v>6000</v>
      </c>
      <c r="E16" s="202">
        <v>43137</v>
      </c>
      <c r="F16" s="183" t="s">
        <v>241</v>
      </c>
      <c r="G16" s="182" t="s">
        <v>393</v>
      </c>
      <c r="H16" s="182" t="s">
        <v>392</v>
      </c>
      <c r="I16" s="181" t="s">
        <v>376</v>
      </c>
      <c r="J16" s="180"/>
    </row>
    <row r="17" spans="1:12" s="124" customFormat="1" ht="14.4" customHeight="1" x14ac:dyDescent="0.3">
      <c r="A17" s="190" t="s">
        <v>6</v>
      </c>
      <c r="B17" s="208" t="s">
        <v>407</v>
      </c>
      <c r="C17" s="207" t="s">
        <v>279</v>
      </c>
      <c r="D17" s="187">
        <v>800</v>
      </c>
      <c r="E17" s="202">
        <v>43137</v>
      </c>
      <c r="F17" s="183" t="s">
        <v>241</v>
      </c>
      <c r="G17" s="182" t="s">
        <v>393</v>
      </c>
      <c r="H17" s="182" t="s">
        <v>392</v>
      </c>
      <c r="I17" s="181" t="s">
        <v>376</v>
      </c>
      <c r="J17" s="180"/>
    </row>
    <row r="18" spans="1:12" s="124" customFormat="1" ht="14.4" customHeight="1" x14ac:dyDescent="0.3">
      <c r="A18" s="190" t="s">
        <v>6</v>
      </c>
      <c r="B18" s="208" t="s">
        <v>404</v>
      </c>
      <c r="C18" s="207" t="s">
        <v>401</v>
      </c>
      <c r="D18" s="191">
        <v>1400</v>
      </c>
      <c r="E18" s="202">
        <v>43137</v>
      </c>
      <c r="F18" s="183" t="s">
        <v>241</v>
      </c>
      <c r="G18" s="182" t="s">
        <v>393</v>
      </c>
      <c r="H18" s="182" t="s">
        <v>392</v>
      </c>
      <c r="I18" s="181" t="s">
        <v>376</v>
      </c>
      <c r="J18" s="180"/>
    </row>
    <row r="19" spans="1:12" s="124" customFormat="1" ht="14.4" customHeight="1" x14ac:dyDescent="0.3">
      <c r="A19" s="190" t="s">
        <v>6</v>
      </c>
      <c r="B19" s="198" t="s">
        <v>402</v>
      </c>
      <c r="C19" s="207" t="s">
        <v>333</v>
      </c>
      <c r="D19" s="187">
        <v>1714.3000000000002</v>
      </c>
      <c r="E19" s="202">
        <v>43137</v>
      </c>
      <c r="F19" s="183" t="s">
        <v>241</v>
      </c>
      <c r="G19" s="182" t="s">
        <v>393</v>
      </c>
      <c r="H19" s="182" t="s">
        <v>392</v>
      </c>
      <c r="I19" s="181" t="s">
        <v>376</v>
      </c>
      <c r="J19" s="180"/>
    </row>
    <row r="20" spans="1:12" s="124" customFormat="1" ht="14.4" customHeight="1" x14ac:dyDescent="0.3">
      <c r="A20" s="190" t="s">
        <v>6</v>
      </c>
      <c r="B20" s="198" t="s">
        <v>400</v>
      </c>
      <c r="C20" s="207" t="s">
        <v>331</v>
      </c>
      <c r="D20" s="187">
        <v>3600</v>
      </c>
      <c r="E20" s="202">
        <v>43137</v>
      </c>
      <c r="F20" s="183" t="s">
        <v>241</v>
      </c>
      <c r="G20" s="182" t="s">
        <v>393</v>
      </c>
      <c r="H20" s="182" t="s">
        <v>392</v>
      </c>
      <c r="I20" s="181" t="s">
        <v>376</v>
      </c>
      <c r="J20" s="180"/>
    </row>
    <row r="21" spans="1:12" s="124" customFormat="1" ht="14.4" customHeight="1" x14ac:dyDescent="0.3">
      <c r="A21" s="190" t="s">
        <v>6</v>
      </c>
      <c r="B21" s="198" t="s">
        <v>398</v>
      </c>
      <c r="C21" s="207" t="s">
        <v>418</v>
      </c>
      <c r="D21" s="187">
        <v>8089.56</v>
      </c>
      <c r="E21" s="202">
        <v>43137</v>
      </c>
      <c r="F21" s="183" t="s">
        <v>241</v>
      </c>
      <c r="G21" s="182" t="s">
        <v>393</v>
      </c>
      <c r="H21" s="182" t="s">
        <v>392</v>
      </c>
      <c r="I21" s="181" t="s">
        <v>376</v>
      </c>
      <c r="J21" s="180"/>
    </row>
    <row r="22" spans="1:12" s="124" customFormat="1" ht="14.4" customHeight="1" x14ac:dyDescent="0.3">
      <c r="A22" s="190" t="s">
        <v>6</v>
      </c>
      <c r="B22" s="198" t="s">
        <v>417</v>
      </c>
      <c r="C22" s="207" t="s">
        <v>416</v>
      </c>
      <c r="D22" s="187">
        <v>65000</v>
      </c>
      <c r="E22" s="202">
        <v>42759</v>
      </c>
      <c r="F22" s="183" t="s">
        <v>241</v>
      </c>
      <c r="G22" s="182" t="s">
        <v>393</v>
      </c>
      <c r="H22" s="182" t="s">
        <v>392</v>
      </c>
      <c r="I22" s="181" t="s">
        <v>376</v>
      </c>
      <c r="J22" s="180"/>
    </row>
    <row r="23" spans="1:12" s="124" customFormat="1" ht="14.4" customHeight="1" x14ac:dyDescent="0.3">
      <c r="A23" s="190" t="s">
        <v>6</v>
      </c>
      <c r="B23" s="198" t="s">
        <v>415</v>
      </c>
      <c r="C23" s="207" t="s">
        <v>414</v>
      </c>
      <c r="D23" s="187">
        <v>8640</v>
      </c>
      <c r="E23" s="202">
        <v>42759</v>
      </c>
      <c r="F23" s="183" t="s">
        <v>241</v>
      </c>
      <c r="G23" s="182" t="s">
        <v>393</v>
      </c>
      <c r="H23" s="182" t="s">
        <v>392</v>
      </c>
      <c r="I23" s="181" t="s">
        <v>376</v>
      </c>
      <c r="J23" s="180"/>
    </row>
    <row r="24" spans="1:12" ht="14.4" customHeight="1" x14ac:dyDescent="0.3">
      <c r="A24" s="190" t="s">
        <v>6</v>
      </c>
      <c r="B24" s="198" t="s">
        <v>288</v>
      </c>
      <c r="C24" s="207" t="s">
        <v>335</v>
      </c>
      <c r="D24" s="187">
        <v>43200</v>
      </c>
      <c r="E24" s="202">
        <v>42759</v>
      </c>
      <c r="F24" s="183" t="s">
        <v>241</v>
      </c>
      <c r="G24" s="182" t="s">
        <v>393</v>
      </c>
      <c r="H24" s="182" t="s">
        <v>392</v>
      </c>
      <c r="I24" s="181" t="s">
        <v>376</v>
      </c>
      <c r="J24" s="180"/>
    </row>
    <row r="25" spans="1:12" ht="14.4" customHeight="1" x14ac:dyDescent="0.3">
      <c r="A25" s="190" t="s">
        <v>6</v>
      </c>
      <c r="B25" s="198" t="s">
        <v>413</v>
      </c>
      <c r="C25" s="207" t="s">
        <v>279</v>
      </c>
      <c r="D25" s="187">
        <v>10800</v>
      </c>
      <c r="E25" s="202">
        <v>42759</v>
      </c>
      <c r="F25" s="183" t="s">
        <v>241</v>
      </c>
      <c r="G25" s="182" t="s">
        <v>393</v>
      </c>
      <c r="H25" s="182" t="s">
        <v>392</v>
      </c>
      <c r="I25" s="181" t="s">
        <v>376</v>
      </c>
      <c r="J25" s="180"/>
    </row>
    <row r="26" spans="1:12" ht="14.4" customHeight="1" x14ac:dyDescent="0.3">
      <c r="A26" s="190" t="s">
        <v>6</v>
      </c>
      <c r="B26" s="198" t="s">
        <v>412</v>
      </c>
      <c r="C26" s="207" t="s">
        <v>279</v>
      </c>
      <c r="D26" s="187">
        <v>40020</v>
      </c>
      <c r="E26" s="202">
        <v>42759</v>
      </c>
      <c r="F26" s="183" t="s">
        <v>241</v>
      </c>
      <c r="G26" s="182" t="s">
        <v>393</v>
      </c>
      <c r="H26" s="182" t="s">
        <v>392</v>
      </c>
      <c r="I26" s="181" t="s">
        <v>376</v>
      </c>
      <c r="J26" s="180"/>
    </row>
    <row r="27" spans="1:12" ht="14.4" customHeight="1" x14ac:dyDescent="0.3">
      <c r="A27" s="190" t="s">
        <v>6</v>
      </c>
      <c r="B27" s="198" t="s">
        <v>411</v>
      </c>
      <c r="C27" s="207" t="s">
        <v>410</v>
      </c>
      <c r="D27" s="187">
        <v>36500.1</v>
      </c>
      <c r="E27" s="202">
        <v>42759</v>
      </c>
      <c r="F27" s="183" t="s">
        <v>241</v>
      </c>
      <c r="G27" s="182" t="s">
        <v>393</v>
      </c>
      <c r="H27" s="182" t="s">
        <v>392</v>
      </c>
      <c r="I27" s="181" t="s">
        <v>376</v>
      </c>
      <c r="J27" s="180"/>
    </row>
    <row r="28" spans="1:12" ht="14.4" customHeight="1" x14ac:dyDescent="0.25">
      <c r="A28" s="190" t="s">
        <v>6</v>
      </c>
      <c r="B28" s="198" t="s">
        <v>409</v>
      </c>
      <c r="C28" s="207" t="s">
        <v>335</v>
      </c>
      <c r="D28" s="187">
        <v>29080</v>
      </c>
      <c r="E28" s="202">
        <v>42759</v>
      </c>
      <c r="F28" s="183" t="s">
        <v>241</v>
      </c>
      <c r="G28" s="182" t="s">
        <v>393</v>
      </c>
      <c r="H28" s="182" t="s">
        <v>392</v>
      </c>
      <c r="I28" s="181" t="s">
        <v>376</v>
      </c>
      <c r="J28" s="180"/>
      <c r="K28" s="106"/>
      <c r="L28" s="106"/>
    </row>
    <row r="29" spans="1:12" ht="14.4" customHeight="1" x14ac:dyDescent="0.25">
      <c r="A29" s="190" t="s">
        <v>6</v>
      </c>
      <c r="B29" s="198" t="s">
        <v>408</v>
      </c>
      <c r="C29" s="207" t="s">
        <v>279</v>
      </c>
      <c r="D29" s="187">
        <v>29080</v>
      </c>
      <c r="E29" s="202">
        <v>42759</v>
      </c>
      <c r="F29" s="183" t="s">
        <v>241</v>
      </c>
      <c r="G29" s="182" t="s">
        <v>393</v>
      </c>
      <c r="H29" s="182" t="s">
        <v>392</v>
      </c>
      <c r="I29" s="181" t="s">
        <v>376</v>
      </c>
      <c r="J29" s="180"/>
      <c r="K29" s="106"/>
      <c r="L29" s="106"/>
    </row>
    <row r="30" spans="1:12" ht="14.4" customHeight="1" x14ac:dyDescent="0.25">
      <c r="A30" s="190" t="s">
        <v>6</v>
      </c>
      <c r="B30" s="198" t="s">
        <v>270</v>
      </c>
      <c r="C30" s="197">
        <v>9</v>
      </c>
      <c r="D30" s="187">
        <v>18000</v>
      </c>
      <c r="E30" s="202">
        <v>42759</v>
      </c>
      <c r="F30" s="183" t="s">
        <v>241</v>
      </c>
      <c r="G30" s="182" t="s">
        <v>393</v>
      </c>
      <c r="H30" s="182" t="s">
        <v>392</v>
      </c>
      <c r="I30" s="181" t="s">
        <v>376</v>
      </c>
      <c r="J30" s="180"/>
      <c r="K30" s="106"/>
      <c r="L30" s="106"/>
    </row>
    <row r="31" spans="1:12" ht="14.4" customHeight="1" x14ac:dyDescent="0.25">
      <c r="A31" s="190" t="s">
        <v>6</v>
      </c>
      <c r="B31" s="208" t="s">
        <v>407</v>
      </c>
      <c r="C31" s="207" t="s">
        <v>366</v>
      </c>
      <c r="D31" s="187">
        <v>5600</v>
      </c>
      <c r="E31" s="202">
        <v>42759</v>
      </c>
      <c r="F31" s="183" t="s">
        <v>241</v>
      </c>
      <c r="G31" s="182" t="s">
        <v>393</v>
      </c>
      <c r="H31" s="182" t="s">
        <v>392</v>
      </c>
      <c r="I31" s="181" t="s">
        <v>376</v>
      </c>
      <c r="J31" s="180"/>
      <c r="K31" s="106"/>
      <c r="L31" s="106"/>
    </row>
    <row r="32" spans="1:12" ht="14.4" customHeight="1" x14ac:dyDescent="0.25">
      <c r="A32" s="190" t="s">
        <v>6</v>
      </c>
      <c r="B32" s="208" t="s">
        <v>406</v>
      </c>
      <c r="C32" s="207" t="s">
        <v>331</v>
      </c>
      <c r="D32" s="187">
        <v>498</v>
      </c>
      <c r="E32" s="202">
        <v>42759</v>
      </c>
      <c r="F32" s="183" t="s">
        <v>241</v>
      </c>
      <c r="G32" s="182" t="s">
        <v>393</v>
      </c>
      <c r="H32" s="182" t="s">
        <v>392</v>
      </c>
      <c r="I32" s="181" t="s">
        <v>376</v>
      </c>
      <c r="J32" s="180"/>
      <c r="K32" s="106"/>
      <c r="L32" s="106"/>
    </row>
    <row r="33" spans="1:12" ht="14.4" customHeight="1" x14ac:dyDescent="0.25">
      <c r="A33" s="190" t="s">
        <v>6</v>
      </c>
      <c r="B33" s="208" t="s">
        <v>405</v>
      </c>
      <c r="C33" s="197">
        <v>36</v>
      </c>
      <c r="D33" s="187">
        <v>3600</v>
      </c>
      <c r="E33" s="202">
        <v>42759</v>
      </c>
      <c r="F33" s="183" t="s">
        <v>241</v>
      </c>
      <c r="G33" s="182" t="s">
        <v>393</v>
      </c>
      <c r="H33" s="182" t="s">
        <v>392</v>
      </c>
      <c r="I33" s="181" t="s">
        <v>376</v>
      </c>
      <c r="J33" s="180"/>
      <c r="K33" s="106"/>
      <c r="L33" s="106"/>
    </row>
    <row r="34" spans="1:12" ht="14.4" customHeight="1" x14ac:dyDescent="0.3">
      <c r="A34" s="190" t="s">
        <v>6</v>
      </c>
      <c r="B34" s="208" t="s">
        <v>404</v>
      </c>
      <c r="C34" s="207" t="s">
        <v>403</v>
      </c>
      <c r="D34" s="187">
        <v>3400</v>
      </c>
      <c r="E34" s="202">
        <v>42759</v>
      </c>
      <c r="F34" s="183" t="s">
        <v>241</v>
      </c>
      <c r="G34" s="182" t="s">
        <v>393</v>
      </c>
      <c r="H34" s="182" t="s">
        <v>392</v>
      </c>
      <c r="I34" s="181" t="s">
        <v>376</v>
      </c>
      <c r="J34" s="180"/>
    </row>
    <row r="35" spans="1:12" ht="14.4" customHeight="1" x14ac:dyDescent="0.3">
      <c r="A35" s="190" t="s">
        <v>6</v>
      </c>
      <c r="B35" s="198" t="s">
        <v>402</v>
      </c>
      <c r="C35" s="207" t="s">
        <v>401</v>
      </c>
      <c r="D35" s="187">
        <v>2400.02</v>
      </c>
      <c r="E35" s="202">
        <v>42759</v>
      </c>
      <c r="F35" s="183" t="s">
        <v>241</v>
      </c>
      <c r="G35" s="182" t="s">
        <v>393</v>
      </c>
      <c r="H35" s="182" t="s">
        <v>392</v>
      </c>
      <c r="I35" s="181" t="s">
        <v>376</v>
      </c>
      <c r="J35" s="180"/>
    </row>
    <row r="36" spans="1:12" ht="14.4" customHeight="1" x14ac:dyDescent="0.25">
      <c r="A36" s="190" t="s">
        <v>6</v>
      </c>
      <c r="B36" s="198" t="s">
        <v>400</v>
      </c>
      <c r="C36" s="207" t="s">
        <v>399</v>
      </c>
      <c r="D36" s="187">
        <v>38400</v>
      </c>
      <c r="E36" s="202">
        <v>42759</v>
      </c>
      <c r="F36" s="183" t="s">
        <v>241</v>
      </c>
      <c r="G36" s="182" t="s">
        <v>393</v>
      </c>
      <c r="H36" s="182" t="s">
        <v>392</v>
      </c>
      <c r="I36" s="181" t="s">
        <v>376</v>
      </c>
      <c r="J36" s="180"/>
      <c r="K36" s="106"/>
      <c r="L36" s="106"/>
    </row>
    <row r="37" spans="1:12" ht="14.4" customHeight="1" x14ac:dyDescent="0.25">
      <c r="A37" s="190" t="s">
        <v>6</v>
      </c>
      <c r="B37" s="198" t="s">
        <v>398</v>
      </c>
      <c r="C37" s="207" t="s">
        <v>397</v>
      </c>
      <c r="D37" s="187">
        <v>5099.9400000000005</v>
      </c>
      <c r="E37" s="202">
        <v>42759</v>
      </c>
      <c r="F37" s="183" t="s">
        <v>241</v>
      </c>
      <c r="G37" s="182" t="s">
        <v>393</v>
      </c>
      <c r="H37" s="182" t="s">
        <v>392</v>
      </c>
      <c r="I37" s="181" t="s">
        <v>376</v>
      </c>
      <c r="J37" s="180"/>
      <c r="K37" s="106"/>
      <c r="L37" s="106"/>
    </row>
    <row r="38" spans="1:12" ht="14.4" customHeight="1" x14ac:dyDescent="0.3">
      <c r="A38" s="190" t="s">
        <v>6</v>
      </c>
      <c r="B38" s="198" t="s">
        <v>396</v>
      </c>
      <c r="C38" s="197">
        <v>1</v>
      </c>
      <c r="D38" s="187">
        <v>284.89999999999998</v>
      </c>
      <c r="E38" s="202">
        <v>42759</v>
      </c>
      <c r="F38" s="183" t="s">
        <v>241</v>
      </c>
      <c r="G38" s="182" t="s">
        <v>393</v>
      </c>
      <c r="H38" s="182" t="s">
        <v>392</v>
      </c>
      <c r="I38" s="181" t="s">
        <v>376</v>
      </c>
      <c r="J38" s="180"/>
    </row>
    <row r="39" spans="1:12" ht="14.4" customHeight="1" x14ac:dyDescent="0.3">
      <c r="A39" s="190" t="s">
        <v>6</v>
      </c>
      <c r="B39" s="198" t="s">
        <v>395</v>
      </c>
      <c r="C39" s="197">
        <v>1</v>
      </c>
      <c r="D39" s="187">
        <v>260.10000000000002</v>
      </c>
      <c r="E39" s="202">
        <v>42759</v>
      </c>
      <c r="F39" s="183" t="s">
        <v>241</v>
      </c>
      <c r="G39" s="182" t="s">
        <v>393</v>
      </c>
      <c r="H39" s="182" t="s">
        <v>392</v>
      </c>
      <c r="I39" s="181" t="s">
        <v>376</v>
      </c>
      <c r="J39" s="180"/>
    </row>
    <row r="40" spans="1:12" ht="14.4" customHeight="1" x14ac:dyDescent="0.3">
      <c r="A40" s="190" t="s">
        <v>6</v>
      </c>
      <c r="B40" s="198" t="s">
        <v>394</v>
      </c>
      <c r="C40" s="197">
        <v>1</v>
      </c>
      <c r="D40" s="187">
        <v>999</v>
      </c>
      <c r="E40" s="202">
        <v>42759</v>
      </c>
      <c r="F40" s="183" t="s">
        <v>241</v>
      </c>
      <c r="G40" s="182" t="s">
        <v>393</v>
      </c>
      <c r="H40" s="182" t="s">
        <v>392</v>
      </c>
      <c r="I40" s="181" t="s">
        <v>376</v>
      </c>
      <c r="J40" s="180"/>
    </row>
    <row r="41" spans="1:12" x14ac:dyDescent="0.3">
      <c r="A41" s="180" t="s">
        <v>10</v>
      </c>
      <c r="B41" s="198" t="s">
        <v>270</v>
      </c>
      <c r="C41" s="197">
        <v>2</v>
      </c>
      <c r="D41" s="187">
        <v>3996.14</v>
      </c>
      <c r="E41" s="202">
        <v>43155</v>
      </c>
      <c r="F41" s="206" t="s">
        <v>241</v>
      </c>
      <c r="G41" s="205" t="s">
        <v>386</v>
      </c>
      <c r="H41" s="205" t="s">
        <v>385</v>
      </c>
      <c r="I41" s="181" t="s">
        <v>331</v>
      </c>
      <c r="J41" s="180"/>
    </row>
    <row r="42" spans="1:12" x14ac:dyDescent="0.3">
      <c r="A42" s="180" t="s">
        <v>10</v>
      </c>
      <c r="B42" s="198" t="s">
        <v>269</v>
      </c>
      <c r="C42" s="197">
        <v>2</v>
      </c>
      <c r="D42" s="187">
        <v>3996.14</v>
      </c>
      <c r="E42" s="202">
        <v>43155</v>
      </c>
      <c r="F42" s="206" t="s">
        <v>241</v>
      </c>
      <c r="G42" s="205" t="s">
        <v>386</v>
      </c>
      <c r="H42" s="205" t="s">
        <v>385</v>
      </c>
      <c r="I42" s="181" t="s">
        <v>331</v>
      </c>
      <c r="J42" s="180"/>
    </row>
    <row r="43" spans="1:12" x14ac:dyDescent="0.3">
      <c r="A43" s="180" t="s">
        <v>10</v>
      </c>
      <c r="B43" s="198" t="s">
        <v>268</v>
      </c>
      <c r="C43" s="197">
        <v>2</v>
      </c>
      <c r="D43" s="194">
        <v>3996.14</v>
      </c>
      <c r="E43" s="202">
        <v>43155</v>
      </c>
      <c r="F43" s="206" t="s">
        <v>241</v>
      </c>
      <c r="G43" s="205" t="s">
        <v>386</v>
      </c>
      <c r="H43" s="182" t="s">
        <v>385</v>
      </c>
      <c r="I43" s="190">
        <v>3</v>
      </c>
      <c r="J43" s="180"/>
    </row>
    <row r="44" spans="1:12" x14ac:dyDescent="0.3">
      <c r="A44" s="180" t="s">
        <v>10</v>
      </c>
      <c r="B44" s="198" t="s">
        <v>267</v>
      </c>
      <c r="C44" s="197">
        <v>2</v>
      </c>
      <c r="D44" s="185">
        <v>3996.14</v>
      </c>
      <c r="E44" s="202">
        <v>43155</v>
      </c>
      <c r="F44" s="206" t="s">
        <v>241</v>
      </c>
      <c r="G44" s="205" t="s">
        <v>386</v>
      </c>
      <c r="H44" s="205" t="s">
        <v>385</v>
      </c>
      <c r="I44" s="181" t="s">
        <v>331</v>
      </c>
      <c r="J44" s="180"/>
    </row>
    <row r="45" spans="1:12" x14ac:dyDescent="0.3">
      <c r="A45" s="180" t="s">
        <v>10</v>
      </c>
      <c r="B45" s="198" t="s">
        <v>266</v>
      </c>
      <c r="C45" s="197">
        <v>8</v>
      </c>
      <c r="D45" s="185">
        <v>1210.96</v>
      </c>
      <c r="E45" s="202">
        <v>43155</v>
      </c>
      <c r="F45" s="206" t="s">
        <v>241</v>
      </c>
      <c r="G45" s="205" t="s">
        <v>386</v>
      </c>
      <c r="H45" s="205" t="s">
        <v>385</v>
      </c>
      <c r="I45" s="181" t="s">
        <v>331</v>
      </c>
      <c r="J45" s="180"/>
    </row>
    <row r="46" spans="1:12" x14ac:dyDescent="0.3">
      <c r="A46" s="180" t="s">
        <v>10</v>
      </c>
      <c r="B46" s="198" t="s">
        <v>265</v>
      </c>
      <c r="C46" s="197">
        <v>8</v>
      </c>
      <c r="D46" s="185">
        <v>799.52</v>
      </c>
      <c r="E46" s="202">
        <v>43155</v>
      </c>
      <c r="F46" s="206" t="s">
        <v>241</v>
      </c>
      <c r="G46" s="205" t="s">
        <v>386</v>
      </c>
      <c r="H46" s="205" t="s">
        <v>385</v>
      </c>
      <c r="I46" s="190">
        <v>3</v>
      </c>
      <c r="J46" s="180"/>
    </row>
    <row r="47" spans="1:12" x14ac:dyDescent="0.3">
      <c r="A47" s="180" t="s">
        <v>10</v>
      </c>
      <c r="B47" s="198" t="s">
        <v>264</v>
      </c>
      <c r="C47" s="197">
        <v>8</v>
      </c>
      <c r="D47" s="185">
        <v>1597.92</v>
      </c>
      <c r="E47" s="202">
        <v>43155</v>
      </c>
      <c r="F47" s="206" t="s">
        <v>241</v>
      </c>
      <c r="G47" s="205" t="s">
        <v>386</v>
      </c>
      <c r="H47" s="182" t="s">
        <v>385</v>
      </c>
      <c r="I47" s="181" t="s">
        <v>331</v>
      </c>
      <c r="J47" s="180"/>
    </row>
    <row r="48" spans="1:12" x14ac:dyDescent="0.3">
      <c r="A48" s="180" t="s">
        <v>10</v>
      </c>
      <c r="B48" s="198" t="s">
        <v>391</v>
      </c>
      <c r="C48" s="197">
        <v>16</v>
      </c>
      <c r="D48" s="185">
        <v>1209.5999999999999</v>
      </c>
      <c r="E48" s="202">
        <v>43155</v>
      </c>
      <c r="F48" s="206" t="s">
        <v>241</v>
      </c>
      <c r="G48" s="205" t="s">
        <v>386</v>
      </c>
      <c r="H48" s="205" t="s">
        <v>385</v>
      </c>
      <c r="I48" s="181" t="s">
        <v>331</v>
      </c>
      <c r="J48" s="180"/>
    </row>
    <row r="49" spans="1:10" x14ac:dyDescent="0.3">
      <c r="A49" s="180" t="s">
        <v>10</v>
      </c>
      <c r="B49" s="198" t="s">
        <v>262</v>
      </c>
      <c r="C49" s="197">
        <v>1</v>
      </c>
      <c r="D49" s="187">
        <v>8960.4599999999991</v>
      </c>
      <c r="E49" s="202">
        <v>43155</v>
      </c>
      <c r="F49" s="206" t="s">
        <v>241</v>
      </c>
      <c r="G49" s="205" t="s">
        <v>386</v>
      </c>
      <c r="H49" s="205" t="s">
        <v>385</v>
      </c>
      <c r="I49" s="190">
        <v>3</v>
      </c>
      <c r="J49" s="180"/>
    </row>
    <row r="50" spans="1:10" x14ac:dyDescent="0.3">
      <c r="A50" s="180" t="s">
        <v>10</v>
      </c>
      <c r="B50" s="198" t="s">
        <v>390</v>
      </c>
      <c r="C50" s="197">
        <v>144</v>
      </c>
      <c r="D50" s="187">
        <v>12661.920000000002</v>
      </c>
      <c r="E50" s="202">
        <v>43155</v>
      </c>
      <c r="F50" s="206" t="s">
        <v>241</v>
      </c>
      <c r="G50" s="205" t="s">
        <v>386</v>
      </c>
      <c r="H50" s="205" t="s">
        <v>385</v>
      </c>
      <c r="I50" s="181" t="s">
        <v>331</v>
      </c>
      <c r="J50" s="180"/>
    </row>
    <row r="51" spans="1:10" x14ac:dyDescent="0.3">
      <c r="A51" s="180" t="s">
        <v>10</v>
      </c>
      <c r="B51" s="198" t="s">
        <v>389</v>
      </c>
      <c r="C51" s="197">
        <v>1</v>
      </c>
      <c r="D51" s="187">
        <v>1799</v>
      </c>
      <c r="E51" s="202">
        <v>43155</v>
      </c>
      <c r="F51" s="206" t="s">
        <v>241</v>
      </c>
      <c r="G51" s="205" t="s">
        <v>386</v>
      </c>
      <c r="H51" s="182" t="s">
        <v>385</v>
      </c>
      <c r="I51" s="181" t="s">
        <v>331</v>
      </c>
      <c r="J51" s="180"/>
    </row>
    <row r="52" spans="1:10" x14ac:dyDescent="0.3">
      <c r="A52" s="180" t="s">
        <v>10</v>
      </c>
      <c r="B52" s="198" t="s">
        <v>388</v>
      </c>
      <c r="C52" s="197">
        <v>1</v>
      </c>
      <c r="D52" s="185">
        <v>499</v>
      </c>
      <c r="E52" s="202">
        <v>43155</v>
      </c>
      <c r="F52" s="206" t="s">
        <v>241</v>
      </c>
      <c r="G52" s="205" t="s">
        <v>386</v>
      </c>
      <c r="H52" s="205" t="s">
        <v>385</v>
      </c>
      <c r="I52" s="190">
        <v>3</v>
      </c>
      <c r="J52" s="180"/>
    </row>
    <row r="53" spans="1:10" x14ac:dyDescent="0.3">
      <c r="A53" s="180" t="s">
        <v>10</v>
      </c>
      <c r="B53" s="198" t="s">
        <v>387</v>
      </c>
      <c r="C53" s="197">
        <v>2</v>
      </c>
      <c r="D53" s="185">
        <v>2910.64</v>
      </c>
      <c r="E53" s="202">
        <v>43155</v>
      </c>
      <c r="F53" s="206" t="s">
        <v>241</v>
      </c>
      <c r="G53" s="205" t="s">
        <v>386</v>
      </c>
      <c r="H53" s="205" t="s">
        <v>385</v>
      </c>
      <c r="I53" s="181" t="s">
        <v>331</v>
      </c>
      <c r="J53" s="180"/>
    </row>
    <row r="54" spans="1:10" x14ac:dyDescent="0.3">
      <c r="A54" s="180" t="s">
        <v>10</v>
      </c>
      <c r="B54" s="198" t="s">
        <v>315</v>
      </c>
      <c r="C54" s="197">
        <v>18</v>
      </c>
      <c r="D54" s="185">
        <v>18000</v>
      </c>
      <c r="E54" s="202">
        <v>43155</v>
      </c>
      <c r="F54" s="206" t="s">
        <v>241</v>
      </c>
      <c r="G54" s="205" t="s">
        <v>386</v>
      </c>
      <c r="H54" s="205" t="s">
        <v>385</v>
      </c>
      <c r="I54" s="181" t="s">
        <v>331</v>
      </c>
      <c r="J54" s="180"/>
    </row>
    <row r="55" spans="1:10" x14ac:dyDescent="0.3">
      <c r="A55" s="180" t="s">
        <v>14</v>
      </c>
      <c r="B55" s="182" t="s">
        <v>384</v>
      </c>
      <c r="C55" s="190">
        <v>3</v>
      </c>
      <c r="D55" s="185">
        <v>6670.47</v>
      </c>
      <c r="E55" s="184">
        <v>43489</v>
      </c>
      <c r="F55" s="206" t="s">
        <v>241</v>
      </c>
      <c r="G55" s="183" t="s">
        <v>368</v>
      </c>
      <c r="H55" s="205" t="s">
        <v>367</v>
      </c>
      <c r="I55" s="199" t="s">
        <v>376</v>
      </c>
      <c r="J55" s="180"/>
    </row>
    <row r="56" spans="1:10" x14ac:dyDescent="0.3">
      <c r="A56" s="180" t="s">
        <v>14</v>
      </c>
      <c r="B56" s="182" t="s">
        <v>383</v>
      </c>
      <c r="C56" s="201">
        <v>3</v>
      </c>
      <c r="D56" s="187">
        <v>1347.72</v>
      </c>
      <c r="E56" s="184">
        <v>43489</v>
      </c>
      <c r="F56" s="206" t="s">
        <v>241</v>
      </c>
      <c r="G56" s="183" t="s">
        <v>368</v>
      </c>
      <c r="H56" s="205" t="s">
        <v>367</v>
      </c>
      <c r="I56" s="199" t="s">
        <v>376</v>
      </c>
      <c r="J56" s="180"/>
    </row>
    <row r="57" spans="1:10" x14ac:dyDescent="0.3">
      <c r="A57" s="180" t="s">
        <v>14</v>
      </c>
      <c r="B57" s="182" t="s">
        <v>382</v>
      </c>
      <c r="C57" s="201">
        <v>30</v>
      </c>
      <c r="D57" s="187">
        <v>6434.4</v>
      </c>
      <c r="E57" s="184">
        <v>43489</v>
      </c>
      <c r="F57" s="206" t="s">
        <v>241</v>
      </c>
      <c r="G57" s="183" t="s">
        <v>368</v>
      </c>
      <c r="H57" s="205" t="s">
        <v>367</v>
      </c>
      <c r="I57" s="199" t="s">
        <v>376</v>
      </c>
      <c r="J57" s="180"/>
    </row>
    <row r="58" spans="1:10" x14ac:dyDescent="0.3">
      <c r="A58" s="180" t="s">
        <v>14</v>
      </c>
      <c r="B58" s="182" t="s">
        <v>381</v>
      </c>
      <c r="C58" s="201">
        <v>6</v>
      </c>
      <c r="D58" s="187">
        <v>1072.44</v>
      </c>
      <c r="E58" s="184">
        <v>43489</v>
      </c>
      <c r="F58" s="206" t="s">
        <v>241</v>
      </c>
      <c r="G58" s="183" t="s">
        <v>368</v>
      </c>
      <c r="H58" s="205" t="s">
        <v>367</v>
      </c>
      <c r="I58" s="199" t="s">
        <v>376</v>
      </c>
      <c r="J58" s="180"/>
    </row>
    <row r="59" spans="1:10" x14ac:dyDescent="0.3">
      <c r="A59" s="180" t="s">
        <v>14</v>
      </c>
      <c r="B59" s="182" t="s">
        <v>380</v>
      </c>
      <c r="C59" s="201">
        <v>3</v>
      </c>
      <c r="D59" s="187">
        <v>3005.85</v>
      </c>
      <c r="E59" s="184">
        <v>43489</v>
      </c>
      <c r="F59" s="206" t="s">
        <v>241</v>
      </c>
      <c r="G59" s="183" t="s">
        <v>368</v>
      </c>
      <c r="H59" s="205" t="s">
        <v>367</v>
      </c>
      <c r="I59" s="199" t="s">
        <v>376</v>
      </c>
      <c r="J59" s="180"/>
    </row>
    <row r="60" spans="1:10" x14ac:dyDescent="0.3">
      <c r="A60" s="180" t="s">
        <v>14</v>
      </c>
      <c r="B60" s="182" t="s">
        <v>379</v>
      </c>
      <c r="C60" s="190">
        <v>3</v>
      </c>
      <c r="D60" s="187">
        <v>3035.79</v>
      </c>
      <c r="E60" s="184">
        <v>43489</v>
      </c>
      <c r="F60" s="206" t="s">
        <v>241</v>
      </c>
      <c r="G60" s="183" t="s">
        <v>368</v>
      </c>
      <c r="H60" s="205" t="s">
        <v>367</v>
      </c>
      <c r="I60" s="199" t="s">
        <v>376</v>
      </c>
      <c r="J60" s="180"/>
    </row>
    <row r="61" spans="1:10" x14ac:dyDescent="0.3">
      <c r="A61" s="180" t="s">
        <v>14</v>
      </c>
      <c r="B61" s="182" t="s">
        <v>378</v>
      </c>
      <c r="C61" s="201">
        <v>3</v>
      </c>
      <c r="D61" s="185">
        <v>1245.9000000000001</v>
      </c>
      <c r="E61" s="184">
        <v>43489</v>
      </c>
      <c r="F61" s="206" t="s">
        <v>241</v>
      </c>
      <c r="G61" s="183" t="s">
        <v>368</v>
      </c>
      <c r="H61" s="205" t="s">
        <v>367</v>
      </c>
      <c r="I61" s="199" t="s">
        <v>376</v>
      </c>
      <c r="J61" s="180"/>
    </row>
    <row r="62" spans="1:10" x14ac:dyDescent="0.3">
      <c r="A62" s="180" t="s">
        <v>14</v>
      </c>
      <c r="B62" s="182" t="s">
        <v>377</v>
      </c>
      <c r="C62" s="201">
        <v>7</v>
      </c>
      <c r="D62" s="185">
        <v>7822.02</v>
      </c>
      <c r="E62" s="184">
        <v>43489</v>
      </c>
      <c r="F62" s="206" t="s">
        <v>241</v>
      </c>
      <c r="G62" s="183" t="s">
        <v>368</v>
      </c>
      <c r="H62" s="205" t="s">
        <v>367</v>
      </c>
      <c r="I62" s="199" t="s">
        <v>376</v>
      </c>
      <c r="J62" s="180"/>
    </row>
    <row r="63" spans="1:10" x14ac:dyDescent="0.3">
      <c r="A63" s="180" t="s">
        <v>14</v>
      </c>
      <c r="B63" s="198" t="s">
        <v>375</v>
      </c>
      <c r="C63" s="197">
        <v>55</v>
      </c>
      <c r="D63" s="185">
        <v>5500</v>
      </c>
      <c r="E63" s="184">
        <v>43000</v>
      </c>
      <c r="F63" s="206" t="s">
        <v>241</v>
      </c>
      <c r="G63" s="183" t="s">
        <v>368</v>
      </c>
      <c r="H63" s="205" t="s">
        <v>367</v>
      </c>
      <c r="I63" s="188">
        <v>15</v>
      </c>
      <c r="J63" s="180"/>
    </row>
    <row r="64" spans="1:10" x14ac:dyDescent="0.3">
      <c r="A64" s="180" t="s">
        <v>14</v>
      </c>
      <c r="B64" s="198" t="s">
        <v>374</v>
      </c>
      <c r="C64" s="197">
        <v>10</v>
      </c>
      <c r="D64" s="185">
        <v>1200</v>
      </c>
      <c r="E64" s="184">
        <v>43000</v>
      </c>
      <c r="F64" s="206" t="s">
        <v>241</v>
      </c>
      <c r="G64" s="183" t="s">
        <v>368</v>
      </c>
      <c r="H64" s="205" t="s">
        <v>367</v>
      </c>
      <c r="I64" s="188">
        <v>15</v>
      </c>
      <c r="J64" s="180"/>
    </row>
    <row r="65" spans="1:10" x14ac:dyDescent="0.3">
      <c r="A65" s="180" t="s">
        <v>14</v>
      </c>
      <c r="B65" s="198" t="s">
        <v>373</v>
      </c>
      <c r="C65" s="197">
        <v>10</v>
      </c>
      <c r="D65" s="185">
        <v>1000</v>
      </c>
      <c r="E65" s="184">
        <v>43000</v>
      </c>
      <c r="F65" s="206" t="s">
        <v>241</v>
      </c>
      <c r="G65" s="183" t="s">
        <v>368</v>
      </c>
      <c r="H65" s="205" t="s">
        <v>367</v>
      </c>
      <c r="I65" s="188">
        <v>15</v>
      </c>
      <c r="J65" s="180"/>
    </row>
    <row r="66" spans="1:10" x14ac:dyDescent="0.3">
      <c r="A66" s="180" t="s">
        <v>14</v>
      </c>
      <c r="B66" s="198" t="s">
        <v>372</v>
      </c>
      <c r="C66" s="197">
        <v>20</v>
      </c>
      <c r="D66" s="185">
        <v>2660</v>
      </c>
      <c r="E66" s="184">
        <v>43000</v>
      </c>
      <c r="F66" s="206" t="s">
        <v>241</v>
      </c>
      <c r="G66" s="183" t="s">
        <v>368</v>
      </c>
      <c r="H66" s="205" t="s">
        <v>367</v>
      </c>
      <c r="I66" s="188">
        <v>15</v>
      </c>
      <c r="J66" s="180"/>
    </row>
    <row r="67" spans="1:10" x14ac:dyDescent="0.3">
      <c r="A67" s="180" t="s">
        <v>14</v>
      </c>
      <c r="B67" s="198" t="s">
        <v>371</v>
      </c>
      <c r="C67" s="197">
        <v>2</v>
      </c>
      <c r="D67" s="187">
        <v>6000</v>
      </c>
      <c r="E67" s="184">
        <v>42989</v>
      </c>
      <c r="F67" s="206" t="s">
        <v>241</v>
      </c>
      <c r="G67" s="183" t="s">
        <v>368</v>
      </c>
      <c r="H67" s="205" t="s">
        <v>367</v>
      </c>
      <c r="I67" s="181" t="s">
        <v>366</v>
      </c>
      <c r="J67" s="180"/>
    </row>
    <row r="68" spans="1:10" x14ac:dyDescent="0.3">
      <c r="A68" s="180" t="s">
        <v>14</v>
      </c>
      <c r="B68" s="198" t="s">
        <v>370</v>
      </c>
      <c r="C68" s="197">
        <v>2</v>
      </c>
      <c r="D68" s="187">
        <v>6000</v>
      </c>
      <c r="E68" s="184">
        <v>42989</v>
      </c>
      <c r="F68" s="206" t="s">
        <v>241</v>
      </c>
      <c r="G68" s="183" t="s">
        <v>368</v>
      </c>
      <c r="H68" s="205" t="s">
        <v>367</v>
      </c>
      <c r="I68" s="181" t="s">
        <v>366</v>
      </c>
      <c r="J68" s="180"/>
    </row>
    <row r="69" spans="1:10" x14ac:dyDescent="0.3">
      <c r="A69" s="180" t="s">
        <v>14</v>
      </c>
      <c r="B69" s="198" t="s">
        <v>369</v>
      </c>
      <c r="C69" s="197">
        <v>40</v>
      </c>
      <c r="D69" s="187">
        <v>5560</v>
      </c>
      <c r="E69" s="184">
        <v>42989</v>
      </c>
      <c r="F69" s="206" t="s">
        <v>241</v>
      </c>
      <c r="G69" s="183" t="s">
        <v>368</v>
      </c>
      <c r="H69" s="205" t="s">
        <v>367</v>
      </c>
      <c r="I69" s="181" t="s">
        <v>366</v>
      </c>
      <c r="J69" s="180"/>
    </row>
    <row r="70" spans="1:10" x14ac:dyDescent="0.3">
      <c r="A70" s="180" t="s">
        <v>19</v>
      </c>
      <c r="B70" s="182" t="s">
        <v>365</v>
      </c>
      <c r="C70" s="201">
        <v>6</v>
      </c>
      <c r="D70" s="194">
        <v>2480</v>
      </c>
      <c r="E70" s="184">
        <v>42308</v>
      </c>
      <c r="F70" s="183" t="s">
        <v>241</v>
      </c>
      <c r="G70" s="183" t="s">
        <v>364</v>
      </c>
      <c r="H70" s="182" t="s">
        <v>363</v>
      </c>
      <c r="I70" s="181" t="s">
        <v>362</v>
      </c>
      <c r="J70" s="61" t="s">
        <v>361</v>
      </c>
    </row>
    <row r="71" spans="1:10" x14ac:dyDescent="0.3">
      <c r="A71" s="180" t="s">
        <v>20</v>
      </c>
      <c r="B71" s="198" t="s">
        <v>360</v>
      </c>
      <c r="C71" s="190">
        <v>1</v>
      </c>
      <c r="D71" s="187">
        <v>2499</v>
      </c>
      <c r="E71" s="184">
        <v>43556</v>
      </c>
      <c r="F71" s="183" t="s">
        <v>241</v>
      </c>
      <c r="G71" s="183" t="s">
        <v>359</v>
      </c>
      <c r="H71" s="198" t="s">
        <v>358</v>
      </c>
      <c r="I71" s="204" t="s">
        <v>331</v>
      </c>
      <c r="J71" s="180"/>
    </row>
    <row r="72" spans="1:10" x14ac:dyDescent="0.3">
      <c r="A72" s="190" t="s">
        <v>21</v>
      </c>
      <c r="B72" s="182" t="s">
        <v>70</v>
      </c>
      <c r="C72" s="180">
        <v>1</v>
      </c>
      <c r="D72" s="196">
        <v>284.89999999999998</v>
      </c>
      <c r="E72" s="184">
        <v>41605</v>
      </c>
      <c r="F72" s="183" t="s">
        <v>241</v>
      </c>
      <c r="G72" s="183" t="s">
        <v>355</v>
      </c>
      <c r="H72" s="182" t="s">
        <v>354</v>
      </c>
      <c r="I72" s="180">
        <v>71</v>
      </c>
      <c r="J72" s="180" t="s">
        <v>357</v>
      </c>
    </row>
    <row r="73" spans="1:10" x14ac:dyDescent="0.3">
      <c r="A73" s="190" t="s">
        <v>21</v>
      </c>
      <c r="B73" s="182" t="s">
        <v>71</v>
      </c>
      <c r="C73" s="180">
        <v>1</v>
      </c>
      <c r="D73" s="196">
        <v>342.18</v>
      </c>
      <c r="E73" s="184">
        <v>41605</v>
      </c>
      <c r="F73" s="183" t="s">
        <v>241</v>
      </c>
      <c r="G73" s="183" t="s">
        <v>355</v>
      </c>
      <c r="H73" s="182" t="s">
        <v>354</v>
      </c>
      <c r="I73" s="180">
        <v>71</v>
      </c>
      <c r="J73" s="180" t="s">
        <v>356</v>
      </c>
    </row>
    <row r="74" spans="1:10" x14ac:dyDescent="0.3">
      <c r="A74" s="190" t="s">
        <v>21</v>
      </c>
      <c r="B74" s="182" t="s">
        <v>72</v>
      </c>
      <c r="C74" s="180">
        <v>1</v>
      </c>
      <c r="D74" s="196">
        <v>999</v>
      </c>
      <c r="E74" s="184">
        <v>41605</v>
      </c>
      <c r="F74" s="183" t="s">
        <v>241</v>
      </c>
      <c r="G74" s="183" t="s">
        <v>355</v>
      </c>
      <c r="H74" s="182" t="s">
        <v>354</v>
      </c>
      <c r="I74" s="180">
        <v>71</v>
      </c>
      <c r="J74" s="180" t="s">
        <v>353</v>
      </c>
    </row>
    <row r="75" spans="1:10" x14ac:dyDescent="0.3">
      <c r="A75" s="180" t="s">
        <v>23</v>
      </c>
      <c r="B75" s="198" t="s">
        <v>352</v>
      </c>
      <c r="C75" s="197">
        <v>7</v>
      </c>
      <c r="D75" s="194">
        <v>44800</v>
      </c>
      <c r="E75" s="209">
        <v>2017</v>
      </c>
      <c r="F75" s="183" t="s">
        <v>241</v>
      </c>
      <c r="G75" s="183" t="s">
        <v>346</v>
      </c>
      <c r="H75" s="182" t="s">
        <v>345</v>
      </c>
      <c r="I75" s="190">
        <v>13</v>
      </c>
      <c r="J75" s="180"/>
    </row>
    <row r="76" spans="1:10" x14ac:dyDescent="0.3">
      <c r="A76" s="180" t="s">
        <v>23</v>
      </c>
      <c r="B76" s="198" t="s">
        <v>351</v>
      </c>
      <c r="C76" s="197">
        <v>5</v>
      </c>
      <c r="D76" s="194">
        <v>960</v>
      </c>
      <c r="E76" s="209">
        <v>2017</v>
      </c>
      <c r="F76" s="183" t="s">
        <v>241</v>
      </c>
      <c r="G76" s="183" t="s">
        <v>346</v>
      </c>
      <c r="H76" s="182" t="s">
        <v>345</v>
      </c>
      <c r="I76" s="190">
        <v>13</v>
      </c>
      <c r="J76" s="180"/>
    </row>
    <row r="77" spans="1:10" x14ac:dyDescent="0.3">
      <c r="A77" s="180" t="s">
        <v>23</v>
      </c>
      <c r="B77" s="198" t="s">
        <v>341</v>
      </c>
      <c r="C77" s="197" t="s">
        <v>279</v>
      </c>
      <c r="D77" s="194">
        <v>300.88</v>
      </c>
      <c r="E77" s="209">
        <v>2017</v>
      </c>
      <c r="F77" s="183" t="s">
        <v>241</v>
      </c>
      <c r="G77" s="183" t="s">
        <v>346</v>
      </c>
      <c r="H77" s="182" t="s">
        <v>345</v>
      </c>
      <c r="I77" s="190">
        <v>13</v>
      </c>
      <c r="J77" s="180"/>
    </row>
    <row r="78" spans="1:10" x14ac:dyDescent="0.3">
      <c r="A78" s="180" t="s">
        <v>23</v>
      </c>
      <c r="B78" s="198" t="s">
        <v>350</v>
      </c>
      <c r="C78" s="197">
        <v>90</v>
      </c>
      <c r="D78" s="191">
        <v>18720</v>
      </c>
      <c r="E78" s="209">
        <v>2017</v>
      </c>
      <c r="F78" s="183" t="s">
        <v>241</v>
      </c>
      <c r="G78" s="183" t="s">
        <v>346</v>
      </c>
      <c r="H78" s="182" t="s">
        <v>345</v>
      </c>
      <c r="I78" s="190">
        <v>13</v>
      </c>
      <c r="J78" s="180"/>
    </row>
    <row r="79" spans="1:10" x14ac:dyDescent="0.3">
      <c r="A79" s="180" t="s">
        <v>23</v>
      </c>
      <c r="B79" s="198" t="s">
        <v>349</v>
      </c>
      <c r="C79" s="197">
        <v>12</v>
      </c>
      <c r="D79" s="187">
        <v>22452.627348837188</v>
      </c>
      <c r="E79" s="209">
        <v>2017</v>
      </c>
      <c r="F79" s="183" t="s">
        <v>241</v>
      </c>
      <c r="G79" s="183" t="s">
        <v>346</v>
      </c>
      <c r="H79" s="182" t="s">
        <v>345</v>
      </c>
      <c r="I79" s="190">
        <v>13</v>
      </c>
      <c r="J79" s="180"/>
    </row>
    <row r="80" spans="1:10" x14ac:dyDescent="0.3">
      <c r="A80" s="180" t="s">
        <v>23</v>
      </c>
      <c r="B80" s="234" t="s">
        <v>348</v>
      </c>
      <c r="C80" s="186">
        <v>25</v>
      </c>
      <c r="D80" s="187">
        <v>1750</v>
      </c>
      <c r="E80" s="209">
        <v>2017</v>
      </c>
      <c r="F80" s="183" t="s">
        <v>241</v>
      </c>
      <c r="G80" s="183" t="s">
        <v>346</v>
      </c>
      <c r="H80" s="182" t="s">
        <v>345</v>
      </c>
      <c r="I80" s="190">
        <v>13</v>
      </c>
      <c r="J80" s="180"/>
    </row>
    <row r="81" spans="1:10" x14ac:dyDescent="0.3">
      <c r="A81" s="180" t="s">
        <v>23</v>
      </c>
      <c r="B81" s="182" t="s">
        <v>347</v>
      </c>
      <c r="C81" s="190">
        <v>8</v>
      </c>
      <c r="D81" s="187">
        <v>8000</v>
      </c>
      <c r="E81" s="209">
        <v>2017</v>
      </c>
      <c r="F81" s="183" t="s">
        <v>241</v>
      </c>
      <c r="G81" s="183" t="s">
        <v>346</v>
      </c>
      <c r="H81" s="182" t="s">
        <v>345</v>
      </c>
      <c r="I81" s="180">
        <v>73</v>
      </c>
      <c r="J81" s="180" t="s">
        <v>344</v>
      </c>
    </row>
    <row r="82" spans="1:10" x14ac:dyDescent="0.3">
      <c r="A82" s="180" t="s">
        <v>25</v>
      </c>
      <c r="B82" s="198" t="s">
        <v>343</v>
      </c>
      <c r="C82" s="207" t="s">
        <v>331</v>
      </c>
      <c r="D82" s="185">
        <v>9000</v>
      </c>
      <c r="E82" s="202">
        <v>42835</v>
      </c>
      <c r="F82" s="183" t="s">
        <v>241</v>
      </c>
      <c r="G82" s="206" t="s">
        <v>329</v>
      </c>
      <c r="H82" s="205" t="s">
        <v>328</v>
      </c>
      <c r="I82" s="181" t="s">
        <v>335</v>
      </c>
      <c r="J82" s="180"/>
    </row>
    <row r="83" spans="1:10" x14ac:dyDescent="0.3">
      <c r="A83" s="180" t="s">
        <v>25</v>
      </c>
      <c r="B83" s="198" t="s">
        <v>343</v>
      </c>
      <c r="C83" s="207" t="s">
        <v>279</v>
      </c>
      <c r="D83" s="187">
        <v>3971.72</v>
      </c>
      <c r="E83" s="202">
        <v>42835</v>
      </c>
      <c r="F83" s="183" t="s">
        <v>241</v>
      </c>
      <c r="G83" s="206" t="s">
        <v>329</v>
      </c>
      <c r="H83" s="205" t="s">
        <v>328</v>
      </c>
      <c r="I83" s="181" t="s">
        <v>335</v>
      </c>
      <c r="J83" s="180"/>
    </row>
    <row r="84" spans="1:10" x14ac:dyDescent="0.3">
      <c r="A84" s="180" t="s">
        <v>25</v>
      </c>
      <c r="B84" s="198" t="s">
        <v>342</v>
      </c>
      <c r="C84" s="207" t="s">
        <v>331</v>
      </c>
      <c r="D84" s="185">
        <v>451.32</v>
      </c>
      <c r="E84" s="202">
        <v>42835</v>
      </c>
      <c r="F84" s="183" t="s">
        <v>241</v>
      </c>
      <c r="G84" s="206" t="s">
        <v>329</v>
      </c>
      <c r="H84" s="205" t="s">
        <v>328</v>
      </c>
      <c r="I84" s="181" t="s">
        <v>335</v>
      </c>
      <c r="J84" s="180"/>
    </row>
    <row r="85" spans="1:10" x14ac:dyDescent="0.3">
      <c r="A85" s="180" t="s">
        <v>25</v>
      </c>
      <c r="B85" s="198" t="s">
        <v>341</v>
      </c>
      <c r="C85" s="207" t="s">
        <v>279</v>
      </c>
      <c r="D85" s="185">
        <v>300.88</v>
      </c>
      <c r="E85" s="202">
        <v>42835</v>
      </c>
      <c r="F85" s="183" t="s">
        <v>241</v>
      </c>
      <c r="G85" s="206" t="s">
        <v>329</v>
      </c>
      <c r="H85" s="205" t="s">
        <v>328</v>
      </c>
      <c r="I85" s="181" t="s">
        <v>335</v>
      </c>
      <c r="J85" s="180"/>
    </row>
    <row r="86" spans="1:10" x14ac:dyDescent="0.3">
      <c r="A86" s="180" t="s">
        <v>25</v>
      </c>
      <c r="B86" s="208" t="s">
        <v>340</v>
      </c>
      <c r="C86" s="207" t="s">
        <v>339</v>
      </c>
      <c r="D86" s="185">
        <v>2500</v>
      </c>
      <c r="E86" s="202">
        <v>42835</v>
      </c>
      <c r="F86" s="183" t="s">
        <v>241</v>
      </c>
      <c r="G86" s="206" t="s">
        <v>329</v>
      </c>
      <c r="H86" s="205" t="s">
        <v>328</v>
      </c>
      <c r="I86" s="181" t="s">
        <v>335</v>
      </c>
      <c r="J86" s="180"/>
    </row>
    <row r="87" spans="1:10" ht="15" customHeight="1" x14ac:dyDescent="0.3">
      <c r="A87" s="180" t="s">
        <v>25</v>
      </c>
      <c r="B87" s="198" t="s">
        <v>338</v>
      </c>
      <c r="C87" s="207" t="s">
        <v>337</v>
      </c>
      <c r="D87" s="185">
        <v>1787.4</v>
      </c>
      <c r="E87" s="202">
        <v>42835</v>
      </c>
      <c r="F87" s="183" t="s">
        <v>241</v>
      </c>
      <c r="G87" s="206" t="s">
        <v>329</v>
      </c>
      <c r="H87" s="205" t="s">
        <v>328</v>
      </c>
      <c r="I87" s="181" t="s">
        <v>335</v>
      </c>
      <c r="J87" s="180"/>
    </row>
    <row r="88" spans="1:10" x14ac:dyDescent="0.3">
      <c r="A88" s="180" t="s">
        <v>25</v>
      </c>
      <c r="B88" s="198" t="s">
        <v>336</v>
      </c>
      <c r="C88" s="197">
        <v>5</v>
      </c>
      <c r="D88" s="187">
        <v>1110.5500000000002</v>
      </c>
      <c r="E88" s="202">
        <v>42835</v>
      </c>
      <c r="F88" s="183" t="s">
        <v>241</v>
      </c>
      <c r="G88" s="206" t="s">
        <v>329</v>
      </c>
      <c r="H88" s="205" t="s">
        <v>328</v>
      </c>
      <c r="I88" s="181" t="s">
        <v>335</v>
      </c>
      <c r="J88" s="180"/>
    </row>
    <row r="89" spans="1:10" x14ac:dyDescent="0.3">
      <c r="A89" s="180" t="s">
        <v>25</v>
      </c>
      <c r="B89" s="208" t="s">
        <v>334</v>
      </c>
      <c r="C89" s="207" t="s">
        <v>333</v>
      </c>
      <c r="D89" s="191">
        <v>333.15</v>
      </c>
      <c r="E89" s="202">
        <v>42835</v>
      </c>
      <c r="F89" s="183" t="s">
        <v>241</v>
      </c>
      <c r="G89" s="206" t="s">
        <v>329</v>
      </c>
      <c r="H89" s="205" t="s">
        <v>328</v>
      </c>
      <c r="I89" s="190">
        <v>8</v>
      </c>
      <c r="J89" s="180"/>
    </row>
    <row r="90" spans="1:10" x14ac:dyDescent="0.3">
      <c r="A90" s="188" t="s">
        <v>25</v>
      </c>
      <c r="B90" s="208" t="s">
        <v>332</v>
      </c>
      <c r="C90" s="207" t="s">
        <v>331</v>
      </c>
      <c r="D90" s="187">
        <v>84.33</v>
      </c>
      <c r="E90" s="202">
        <v>42835</v>
      </c>
      <c r="F90" s="183" t="s">
        <v>241</v>
      </c>
      <c r="G90" s="206" t="s">
        <v>329</v>
      </c>
      <c r="H90" s="205" t="s">
        <v>328</v>
      </c>
      <c r="I90" s="190">
        <v>8</v>
      </c>
      <c r="J90" s="180"/>
    </row>
    <row r="91" spans="1:10" x14ac:dyDescent="0.3">
      <c r="A91" s="188" t="s">
        <v>25</v>
      </c>
      <c r="B91" s="208" t="s">
        <v>330</v>
      </c>
      <c r="C91" s="207" t="s">
        <v>279</v>
      </c>
      <c r="D91" s="187">
        <v>198.68</v>
      </c>
      <c r="E91" s="202">
        <v>42835</v>
      </c>
      <c r="F91" s="183" t="s">
        <v>241</v>
      </c>
      <c r="G91" s="206" t="s">
        <v>329</v>
      </c>
      <c r="H91" s="205" t="s">
        <v>328</v>
      </c>
      <c r="I91" s="190">
        <v>8</v>
      </c>
      <c r="J91" s="180"/>
    </row>
    <row r="92" spans="1:10" x14ac:dyDescent="0.3">
      <c r="A92" s="180" t="s">
        <v>29</v>
      </c>
      <c r="B92" s="198" t="s">
        <v>327</v>
      </c>
      <c r="C92" s="197">
        <v>6</v>
      </c>
      <c r="D92" s="185">
        <v>22800</v>
      </c>
      <c r="E92" s="184">
        <v>43188</v>
      </c>
      <c r="F92" s="206" t="s">
        <v>241</v>
      </c>
      <c r="G92" s="205" t="s">
        <v>326</v>
      </c>
      <c r="H92" s="205" t="s">
        <v>325</v>
      </c>
      <c r="I92" s="204" t="s">
        <v>324</v>
      </c>
      <c r="J92" s="203"/>
    </row>
    <row r="93" spans="1:10" x14ac:dyDescent="0.3">
      <c r="A93" s="197" t="s">
        <v>31</v>
      </c>
      <c r="B93" s="182" t="s">
        <v>278</v>
      </c>
      <c r="C93" s="180">
        <v>1</v>
      </c>
      <c r="D93" s="193">
        <v>1998.07</v>
      </c>
      <c r="E93" s="202">
        <v>41725</v>
      </c>
      <c r="F93" s="198" t="s">
        <v>241</v>
      </c>
      <c r="G93" s="182" t="s">
        <v>322</v>
      </c>
      <c r="H93" s="182" t="s">
        <v>321</v>
      </c>
      <c r="I93" s="180">
        <v>77</v>
      </c>
      <c r="J93" s="180" t="s">
        <v>257</v>
      </c>
    </row>
    <row r="94" spans="1:10" x14ac:dyDescent="0.3">
      <c r="A94" s="197" t="s">
        <v>31</v>
      </c>
      <c r="B94" s="182" t="s">
        <v>277</v>
      </c>
      <c r="C94" s="180">
        <v>1</v>
      </c>
      <c r="D94" s="193">
        <v>1998.07</v>
      </c>
      <c r="E94" s="202">
        <v>41725</v>
      </c>
      <c r="F94" s="198" t="s">
        <v>241</v>
      </c>
      <c r="G94" s="182" t="s">
        <v>322</v>
      </c>
      <c r="H94" s="182" t="s">
        <v>321</v>
      </c>
      <c r="I94" s="180">
        <v>77</v>
      </c>
      <c r="J94" s="180" t="s">
        <v>257</v>
      </c>
    </row>
    <row r="95" spans="1:10" x14ac:dyDescent="0.3">
      <c r="A95" s="197" t="s">
        <v>31</v>
      </c>
      <c r="B95" s="182" t="s">
        <v>276</v>
      </c>
      <c r="C95" s="180">
        <v>1</v>
      </c>
      <c r="D95" s="193">
        <v>1998.07</v>
      </c>
      <c r="E95" s="202">
        <v>41725</v>
      </c>
      <c r="F95" s="198" t="s">
        <v>241</v>
      </c>
      <c r="G95" s="182" t="s">
        <v>322</v>
      </c>
      <c r="H95" s="182" t="s">
        <v>321</v>
      </c>
      <c r="I95" s="180">
        <v>77</v>
      </c>
      <c r="J95" s="180" t="s">
        <v>257</v>
      </c>
    </row>
    <row r="96" spans="1:10" x14ac:dyDescent="0.3">
      <c r="A96" s="197" t="s">
        <v>31</v>
      </c>
      <c r="B96" s="182" t="s">
        <v>275</v>
      </c>
      <c r="C96" s="180">
        <v>1</v>
      </c>
      <c r="D96" s="193">
        <v>1998.07</v>
      </c>
      <c r="E96" s="202">
        <v>41725</v>
      </c>
      <c r="F96" s="198" t="s">
        <v>241</v>
      </c>
      <c r="G96" s="182" t="s">
        <v>322</v>
      </c>
      <c r="H96" s="182" t="s">
        <v>321</v>
      </c>
      <c r="I96" s="180">
        <v>77</v>
      </c>
      <c r="J96" s="180" t="s">
        <v>257</v>
      </c>
    </row>
    <row r="97" spans="1:10" x14ac:dyDescent="0.3">
      <c r="A97" s="197" t="s">
        <v>31</v>
      </c>
      <c r="B97" s="182" t="s">
        <v>266</v>
      </c>
      <c r="C97" s="189">
        <v>4</v>
      </c>
      <c r="D97" s="193">
        <v>605.48</v>
      </c>
      <c r="E97" s="202">
        <v>41725</v>
      </c>
      <c r="F97" s="198" t="s">
        <v>241</v>
      </c>
      <c r="G97" s="182" t="s">
        <v>322</v>
      </c>
      <c r="H97" s="182" t="s">
        <v>321</v>
      </c>
      <c r="I97" s="180">
        <v>77</v>
      </c>
      <c r="J97" s="180" t="s">
        <v>257</v>
      </c>
    </row>
    <row r="98" spans="1:10" x14ac:dyDescent="0.3">
      <c r="A98" s="197" t="s">
        <v>31</v>
      </c>
      <c r="B98" s="182" t="s">
        <v>265</v>
      </c>
      <c r="C98" s="180">
        <v>4</v>
      </c>
      <c r="D98" s="193">
        <v>399.76</v>
      </c>
      <c r="E98" s="202">
        <v>41725</v>
      </c>
      <c r="F98" s="198" t="s">
        <v>241</v>
      </c>
      <c r="G98" s="182" t="s">
        <v>322</v>
      </c>
      <c r="H98" s="182" t="s">
        <v>321</v>
      </c>
      <c r="I98" s="180">
        <v>77</v>
      </c>
      <c r="J98" s="180" t="s">
        <v>257</v>
      </c>
    </row>
    <row r="99" spans="1:10" x14ac:dyDescent="0.3">
      <c r="A99" s="197" t="s">
        <v>31</v>
      </c>
      <c r="B99" s="182" t="s">
        <v>264</v>
      </c>
      <c r="C99" s="180">
        <v>4</v>
      </c>
      <c r="D99" s="193">
        <v>798.96</v>
      </c>
      <c r="E99" s="202">
        <v>41725</v>
      </c>
      <c r="F99" s="198" t="s">
        <v>241</v>
      </c>
      <c r="G99" s="182" t="s">
        <v>322</v>
      </c>
      <c r="H99" s="182" t="s">
        <v>321</v>
      </c>
      <c r="I99" s="180">
        <v>77</v>
      </c>
      <c r="J99" s="180" t="s">
        <v>257</v>
      </c>
    </row>
    <row r="100" spans="1:10" x14ac:dyDescent="0.3">
      <c r="A100" s="197" t="s">
        <v>31</v>
      </c>
      <c r="B100" s="182" t="s">
        <v>274</v>
      </c>
      <c r="C100" s="189">
        <v>8</v>
      </c>
      <c r="D100" s="193">
        <v>12881.2</v>
      </c>
      <c r="E100" s="202">
        <v>41725</v>
      </c>
      <c r="F100" s="198" t="s">
        <v>241</v>
      </c>
      <c r="G100" s="182" t="s">
        <v>322</v>
      </c>
      <c r="H100" s="182" t="s">
        <v>321</v>
      </c>
      <c r="I100" s="180">
        <v>77</v>
      </c>
      <c r="J100" s="180" t="s">
        <v>257</v>
      </c>
    </row>
    <row r="101" spans="1:10" x14ac:dyDescent="0.3">
      <c r="A101" s="197" t="s">
        <v>31</v>
      </c>
      <c r="B101" s="182" t="s">
        <v>263</v>
      </c>
      <c r="C101" s="189">
        <v>8</v>
      </c>
      <c r="D101" s="193">
        <v>604.79999999999995</v>
      </c>
      <c r="E101" s="202">
        <v>41725</v>
      </c>
      <c r="F101" s="198" t="s">
        <v>241</v>
      </c>
      <c r="G101" s="182" t="s">
        <v>322</v>
      </c>
      <c r="H101" s="182" t="s">
        <v>321</v>
      </c>
      <c r="I101" s="180">
        <v>77</v>
      </c>
      <c r="J101" s="180" t="s">
        <v>257</v>
      </c>
    </row>
    <row r="102" spans="1:10" x14ac:dyDescent="0.3">
      <c r="A102" s="197" t="s">
        <v>31</v>
      </c>
      <c r="B102" s="182" t="s">
        <v>262</v>
      </c>
      <c r="C102" s="180">
        <v>1</v>
      </c>
      <c r="D102" s="193">
        <v>8960.4599999999991</v>
      </c>
      <c r="E102" s="202">
        <v>41725</v>
      </c>
      <c r="F102" s="198" t="s">
        <v>241</v>
      </c>
      <c r="G102" s="182" t="s">
        <v>322</v>
      </c>
      <c r="H102" s="182" t="s">
        <v>321</v>
      </c>
      <c r="I102" s="180">
        <v>77</v>
      </c>
      <c r="J102" s="180" t="s">
        <v>257</v>
      </c>
    </row>
    <row r="103" spans="1:10" x14ac:dyDescent="0.3">
      <c r="A103" s="197" t="s">
        <v>31</v>
      </c>
      <c r="B103" s="182" t="s">
        <v>261</v>
      </c>
      <c r="C103" s="189">
        <v>36</v>
      </c>
      <c r="D103" s="193">
        <v>3165.48</v>
      </c>
      <c r="E103" s="202">
        <v>41725</v>
      </c>
      <c r="F103" s="198" t="s">
        <v>241</v>
      </c>
      <c r="G103" s="182" t="s">
        <v>322</v>
      </c>
      <c r="H103" s="182" t="s">
        <v>321</v>
      </c>
      <c r="I103" s="180">
        <v>77</v>
      </c>
      <c r="J103" s="180" t="s">
        <v>257</v>
      </c>
    </row>
    <row r="104" spans="1:10" x14ac:dyDescent="0.3">
      <c r="A104" s="197" t="s">
        <v>31</v>
      </c>
      <c r="B104" s="182" t="s">
        <v>260</v>
      </c>
      <c r="C104" s="189">
        <v>45</v>
      </c>
      <c r="D104" s="193">
        <v>1912.5</v>
      </c>
      <c r="E104" s="202">
        <v>41725</v>
      </c>
      <c r="F104" s="198" t="s">
        <v>241</v>
      </c>
      <c r="G104" s="182" t="s">
        <v>322</v>
      </c>
      <c r="H104" s="182" t="s">
        <v>321</v>
      </c>
      <c r="I104" s="180">
        <v>77</v>
      </c>
      <c r="J104" s="180" t="s">
        <v>257</v>
      </c>
    </row>
    <row r="105" spans="1:10" x14ac:dyDescent="0.3">
      <c r="A105" s="197" t="s">
        <v>31</v>
      </c>
      <c r="B105" s="182" t="s">
        <v>259</v>
      </c>
      <c r="C105" s="189">
        <v>237</v>
      </c>
      <c r="D105" s="193">
        <v>2486.13</v>
      </c>
      <c r="E105" s="202">
        <v>41725</v>
      </c>
      <c r="F105" s="198" t="s">
        <v>241</v>
      </c>
      <c r="G105" s="182" t="s">
        <v>322</v>
      </c>
      <c r="H105" s="182" t="s">
        <v>321</v>
      </c>
      <c r="I105" s="180">
        <v>77</v>
      </c>
      <c r="J105" s="180" t="s">
        <v>257</v>
      </c>
    </row>
    <row r="106" spans="1:10" x14ac:dyDescent="0.3">
      <c r="A106" s="197" t="s">
        <v>31</v>
      </c>
      <c r="B106" s="182" t="s">
        <v>258</v>
      </c>
      <c r="C106" s="189">
        <v>8</v>
      </c>
      <c r="D106" s="193">
        <v>1331.44</v>
      </c>
      <c r="E106" s="202">
        <v>41725</v>
      </c>
      <c r="F106" s="198" t="s">
        <v>241</v>
      </c>
      <c r="G106" s="182" t="s">
        <v>322</v>
      </c>
      <c r="H106" s="182" t="s">
        <v>321</v>
      </c>
      <c r="I106" s="180">
        <v>77</v>
      </c>
      <c r="J106" s="180" t="s">
        <v>257</v>
      </c>
    </row>
    <row r="107" spans="1:10" x14ac:dyDescent="0.3">
      <c r="A107" s="197" t="s">
        <v>31</v>
      </c>
      <c r="B107" s="182" t="s">
        <v>323</v>
      </c>
      <c r="C107" s="201">
        <v>4</v>
      </c>
      <c r="D107" s="193">
        <v>6440.6</v>
      </c>
      <c r="E107" s="202">
        <v>42009</v>
      </c>
      <c r="F107" s="198" t="s">
        <v>241</v>
      </c>
      <c r="G107" s="182" t="s">
        <v>322</v>
      </c>
      <c r="H107" s="182" t="s">
        <v>321</v>
      </c>
      <c r="I107" s="180">
        <v>3</v>
      </c>
      <c r="J107" s="180" t="s">
        <v>257</v>
      </c>
    </row>
    <row r="108" spans="1:10" ht="15" customHeight="1" x14ac:dyDescent="0.3">
      <c r="A108" s="197" t="s">
        <v>31</v>
      </c>
      <c r="B108" s="182" t="s">
        <v>278</v>
      </c>
      <c r="C108" s="180">
        <v>1</v>
      </c>
      <c r="D108" s="193">
        <v>1998.07</v>
      </c>
      <c r="E108" s="202">
        <v>41725</v>
      </c>
      <c r="F108" s="198" t="s">
        <v>241</v>
      </c>
      <c r="G108" s="182" t="s">
        <v>320</v>
      </c>
      <c r="H108" s="182" t="s">
        <v>319</v>
      </c>
      <c r="I108" s="180">
        <v>75</v>
      </c>
      <c r="J108" s="180" t="s">
        <v>257</v>
      </c>
    </row>
    <row r="109" spans="1:10" x14ac:dyDescent="0.3">
      <c r="A109" s="197" t="s">
        <v>31</v>
      </c>
      <c r="B109" s="182" t="s">
        <v>277</v>
      </c>
      <c r="C109" s="180">
        <v>1</v>
      </c>
      <c r="D109" s="193">
        <v>1998.07</v>
      </c>
      <c r="E109" s="202">
        <v>41725</v>
      </c>
      <c r="F109" s="198" t="s">
        <v>241</v>
      </c>
      <c r="G109" s="182" t="s">
        <v>320</v>
      </c>
      <c r="H109" s="182" t="s">
        <v>319</v>
      </c>
      <c r="I109" s="180">
        <v>75</v>
      </c>
      <c r="J109" s="180" t="s">
        <v>257</v>
      </c>
    </row>
    <row r="110" spans="1:10" ht="15" customHeight="1" x14ac:dyDescent="0.3">
      <c r="A110" s="197" t="s">
        <v>31</v>
      </c>
      <c r="B110" s="182" t="s">
        <v>276</v>
      </c>
      <c r="C110" s="180">
        <v>1</v>
      </c>
      <c r="D110" s="193">
        <v>1998.07</v>
      </c>
      <c r="E110" s="202">
        <v>41725</v>
      </c>
      <c r="F110" s="198" t="s">
        <v>241</v>
      </c>
      <c r="G110" s="182" t="s">
        <v>320</v>
      </c>
      <c r="H110" s="182" t="s">
        <v>319</v>
      </c>
      <c r="I110" s="180">
        <v>75</v>
      </c>
      <c r="J110" s="180" t="s">
        <v>257</v>
      </c>
    </row>
    <row r="111" spans="1:10" x14ac:dyDescent="0.3">
      <c r="A111" s="197" t="s">
        <v>31</v>
      </c>
      <c r="B111" s="182" t="s">
        <v>275</v>
      </c>
      <c r="C111" s="180">
        <v>1</v>
      </c>
      <c r="D111" s="193">
        <v>1998.07</v>
      </c>
      <c r="E111" s="202">
        <v>41725</v>
      </c>
      <c r="F111" s="198" t="s">
        <v>241</v>
      </c>
      <c r="G111" s="182" t="s">
        <v>320</v>
      </c>
      <c r="H111" s="182" t="s">
        <v>319</v>
      </c>
      <c r="I111" s="180">
        <v>75</v>
      </c>
      <c r="J111" s="180" t="s">
        <v>257</v>
      </c>
    </row>
    <row r="112" spans="1:10" x14ac:dyDescent="0.3">
      <c r="A112" s="197" t="s">
        <v>31</v>
      </c>
      <c r="B112" s="182" t="s">
        <v>266</v>
      </c>
      <c r="C112" s="189">
        <v>4</v>
      </c>
      <c r="D112" s="193">
        <f>151.37*4</f>
        <v>605.48</v>
      </c>
      <c r="E112" s="202">
        <v>41725</v>
      </c>
      <c r="F112" s="198" t="s">
        <v>241</v>
      </c>
      <c r="G112" s="182" t="s">
        <v>320</v>
      </c>
      <c r="H112" s="182" t="s">
        <v>319</v>
      </c>
      <c r="I112" s="180">
        <v>75</v>
      </c>
      <c r="J112" s="180" t="s">
        <v>257</v>
      </c>
    </row>
    <row r="113" spans="1:10" x14ac:dyDescent="0.3">
      <c r="A113" s="197" t="s">
        <v>31</v>
      </c>
      <c r="B113" s="182" t="s">
        <v>265</v>
      </c>
      <c r="C113" s="180">
        <v>4</v>
      </c>
      <c r="D113" s="193">
        <f>99.94*4</f>
        <v>399.76</v>
      </c>
      <c r="E113" s="202">
        <v>41725</v>
      </c>
      <c r="F113" s="198" t="s">
        <v>241</v>
      </c>
      <c r="G113" s="182" t="s">
        <v>320</v>
      </c>
      <c r="H113" s="182" t="s">
        <v>319</v>
      </c>
      <c r="I113" s="180">
        <v>75</v>
      </c>
      <c r="J113" s="180" t="s">
        <v>257</v>
      </c>
    </row>
    <row r="114" spans="1:10" ht="15" customHeight="1" x14ac:dyDescent="0.3">
      <c r="A114" s="197" t="s">
        <v>31</v>
      </c>
      <c r="B114" s="182" t="s">
        <v>264</v>
      </c>
      <c r="C114" s="180">
        <v>4</v>
      </c>
      <c r="D114" s="193">
        <f>199.74*4</f>
        <v>798.96</v>
      </c>
      <c r="E114" s="202">
        <v>41725</v>
      </c>
      <c r="F114" s="198" t="s">
        <v>241</v>
      </c>
      <c r="G114" s="182" t="s">
        <v>320</v>
      </c>
      <c r="H114" s="182" t="s">
        <v>319</v>
      </c>
      <c r="I114" s="180">
        <v>75</v>
      </c>
      <c r="J114" s="180" t="s">
        <v>257</v>
      </c>
    </row>
    <row r="115" spans="1:10" x14ac:dyDescent="0.3">
      <c r="A115" s="197" t="s">
        <v>31</v>
      </c>
      <c r="B115" s="182" t="s">
        <v>274</v>
      </c>
      <c r="C115" s="180">
        <v>8</v>
      </c>
      <c r="D115" s="193">
        <f>1610.15*8</f>
        <v>12881.2</v>
      </c>
      <c r="E115" s="202">
        <v>41725</v>
      </c>
      <c r="F115" s="198" t="s">
        <v>241</v>
      </c>
      <c r="G115" s="182" t="s">
        <v>320</v>
      </c>
      <c r="H115" s="182" t="s">
        <v>319</v>
      </c>
      <c r="I115" s="180">
        <v>75</v>
      </c>
      <c r="J115" s="180" t="s">
        <v>257</v>
      </c>
    </row>
    <row r="116" spans="1:10" x14ac:dyDescent="0.3">
      <c r="A116" s="197" t="s">
        <v>31</v>
      </c>
      <c r="B116" s="182" t="s">
        <v>263</v>
      </c>
      <c r="C116" s="189">
        <v>8</v>
      </c>
      <c r="D116" s="193">
        <f>75.6*8</f>
        <v>604.79999999999995</v>
      </c>
      <c r="E116" s="202">
        <v>41725</v>
      </c>
      <c r="F116" s="198" t="s">
        <v>241</v>
      </c>
      <c r="G116" s="182" t="s">
        <v>320</v>
      </c>
      <c r="H116" s="182" t="s">
        <v>319</v>
      </c>
      <c r="I116" s="180">
        <v>75</v>
      </c>
      <c r="J116" s="180" t="s">
        <v>257</v>
      </c>
    </row>
    <row r="117" spans="1:10" x14ac:dyDescent="0.3">
      <c r="A117" s="197" t="s">
        <v>31</v>
      </c>
      <c r="B117" s="182" t="s">
        <v>262</v>
      </c>
      <c r="C117" s="180">
        <v>1</v>
      </c>
      <c r="D117" s="193">
        <v>8960.4599999999991</v>
      </c>
      <c r="E117" s="202">
        <v>41725</v>
      </c>
      <c r="F117" s="198" t="s">
        <v>241</v>
      </c>
      <c r="G117" s="182" t="s">
        <v>320</v>
      </c>
      <c r="H117" s="182" t="s">
        <v>319</v>
      </c>
      <c r="I117" s="180">
        <v>75</v>
      </c>
      <c r="J117" s="180" t="s">
        <v>257</v>
      </c>
    </row>
    <row r="118" spans="1:10" ht="15" customHeight="1" x14ac:dyDescent="0.3">
      <c r="A118" s="197" t="s">
        <v>31</v>
      </c>
      <c r="B118" s="182" t="s">
        <v>261</v>
      </c>
      <c r="C118" s="189">
        <v>36</v>
      </c>
      <c r="D118" s="193">
        <f>87.93*36</f>
        <v>3165.4800000000005</v>
      </c>
      <c r="E118" s="202">
        <v>41725</v>
      </c>
      <c r="F118" s="198" t="s">
        <v>241</v>
      </c>
      <c r="G118" s="182" t="s">
        <v>320</v>
      </c>
      <c r="H118" s="182" t="s">
        <v>319</v>
      </c>
      <c r="I118" s="180">
        <v>75</v>
      </c>
      <c r="J118" s="180" t="s">
        <v>257</v>
      </c>
    </row>
    <row r="119" spans="1:10" x14ac:dyDescent="0.3">
      <c r="A119" s="197" t="s">
        <v>31</v>
      </c>
      <c r="B119" s="182" t="s">
        <v>260</v>
      </c>
      <c r="C119" s="189">
        <v>42</v>
      </c>
      <c r="D119" s="193">
        <f>42.5*42</f>
        <v>1785</v>
      </c>
      <c r="E119" s="202">
        <v>41725</v>
      </c>
      <c r="F119" s="198" t="s">
        <v>241</v>
      </c>
      <c r="G119" s="182" t="s">
        <v>320</v>
      </c>
      <c r="H119" s="182" t="s">
        <v>319</v>
      </c>
      <c r="I119" s="180">
        <v>75</v>
      </c>
      <c r="J119" s="180" t="s">
        <v>257</v>
      </c>
    </row>
    <row r="120" spans="1:10" x14ac:dyDescent="0.3">
      <c r="A120" s="197" t="s">
        <v>31</v>
      </c>
      <c r="B120" s="182" t="s">
        <v>259</v>
      </c>
      <c r="C120" s="189">
        <v>233</v>
      </c>
      <c r="D120" s="193">
        <f>10.49*233</f>
        <v>2444.17</v>
      </c>
      <c r="E120" s="202">
        <v>41725</v>
      </c>
      <c r="F120" s="198" t="s">
        <v>241</v>
      </c>
      <c r="G120" s="182" t="s">
        <v>320</v>
      </c>
      <c r="H120" s="182" t="s">
        <v>319</v>
      </c>
      <c r="I120" s="180">
        <v>75</v>
      </c>
      <c r="J120" s="180" t="s">
        <v>257</v>
      </c>
    </row>
    <row r="121" spans="1:10" x14ac:dyDescent="0.3">
      <c r="A121" s="197" t="s">
        <v>31</v>
      </c>
      <c r="B121" s="182" t="s">
        <v>258</v>
      </c>
      <c r="C121" s="189">
        <v>16</v>
      </c>
      <c r="D121" s="193">
        <f>166.43*16</f>
        <v>2662.88</v>
      </c>
      <c r="E121" s="202">
        <v>41725</v>
      </c>
      <c r="F121" s="198" t="s">
        <v>241</v>
      </c>
      <c r="G121" s="182" t="s">
        <v>320</v>
      </c>
      <c r="H121" s="182" t="s">
        <v>319</v>
      </c>
      <c r="I121" s="180">
        <v>75</v>
      </c>
      <c r="J121" s="180" t="s">
        <v>257</v>
      </c>
    </row>
    <row r="122" spans="1:10" x14ac:dyDescent="0.3">
      <c r="A122" s="197" t="s">
        <v>31</v>
      </c>
      <c r="B122" s="182" t="s">
        <v>318</v>
      </c>
      <c r="C122" s="189">
        <v>1</v>
      </c>
      <c r="D122" s="193">
        <v>1799</v>
      </c>
      <c r="E122" s="184">
        <v>41907</v>
      </c>
      <c r="F122" s="198" t="s">
        <v>241</v>
      </c>
      <c r="G122" s="183" t="s">
        <v>292</v>
      </c>
      <c r="H122" s="182" t="s">
        <v>291</v>
      </c>
      <c r="I122" s="180" t="s">
        <v>317</v>
      </c>
      <c r="J122" s="180" t="s">
        <v>316</v>
      </c>
    </row>
    <row r="123" spans="1:10" ht="15" customHeight="1" x14ac:dyDescent="0.3">
      <c r="A123" s="197" t="s">
        <v>31</v>
      </c>
      <c r="B123" s="182" t="s">
        <v>315</v>
      </c>
      <c r="C123" s="201">
        <v>18</v>
      </c>
      <c r="D123" s="193">
        <v>18000</v>
      </c>
      <c r="E123" s="184">
        <v>42009</v>
      </c>
      <c r="F123" s="198" t="s">
        <v>241</v>
      </c>
      <c r="G123" s="183" t="s">
        <v>292</v>
      </c>
      <c r="H123" s="182" t="s">
        <v>291</v>
      </c>
      <c r="I123" s="199" t="s">
        <v>314</v>
      </c>
      <c r="J123" s="61" t="s">
        <v>313</v>
      </c>
    </row>
    <row r="124" spans="1:10" x14ac:dyDescent="0.3">
      <c r="A124" s="197" t="s">
        <v>31</v>
      </c>
      <c r="B124" s="182" t="s">
        <v>256</v>
      </c>
      <c r="C124" s="180">
        <v>2</v>
      </c>
      <c r="D124" s="193">
        <v>1455.32</v>
      </c>
      <c r="E124" s="184">
        <v>41598</v>
      </c>
      <c r="F124" s="198" t="s">
        <v>241</v>
      </c>
      <c r="G124" s="183" t="s">
        <v>292</v>
      </c>
      <c r="H124" s="182" t="s">
        <v>291</v>
      </c>
      <c r="I124" s="180">
        <v>69</v>
      </c>
      <c r="J124" s="180" t="s">
        <v>255</v>
      </c>
    </row>
    <row r="125" spans="1:10" x14ac:dyDescent="0.3">
      <c r="A125" s="197" t="s">
        <v>31</v>
      </c>
      <c r="B125" s="182" t="s">
        <v>312</v>
      </c>
      <c r="C125" s="180">
        <v>1</v>
      </c>
      <c r="D125" s="193">
        <v>1599</v>
      </c>
      <c r="E125" s="184">
        <v>41555</v>
      </c>
      <c r="F125" s="198" t="s">
        <v>241</v>
      </c>
      <c r="G125" s="183" t="s">
        <v>292</v>
      </c>
      <c r="H125" s="182" t="s">
        <v>291</v>
      </c>
      <c r="I125" s="180">
        <v>64</v>
      </c>
      <c r="J125" s="180" t="s">
        <v>311</v>
      </c>
    </row>
    <row r="126" spans="1:10" x14ac:dyDescent="0.3">
      <c r="A126" s="197" t="s">
        <v>31</v>
      </c>
      <c r="B126" s="182" t="s">
        <v>310</v>
      </c>
      <c r="C126" s="180">
        <v>1</v>
      </c>
      <c r="D126" s="193">
        <v>499</v>
      </c>
      <c r="E126" s="184">
        <v>41555</v>
      </c>
      <c r="F126" s="198" t="s">
        <v>241</v>
      </c>
      <c r="G126" s="183" t="s">
        <v>292</v>
      </c>
      <c r="H126" s="182" t="s">
        <v>291</v>
      </c>
      <c r="I126" s="180">
        <v>64</v>
      </c>
      <c r="J126" s="180" t="s">
        <v>309</v>
      </c>
    </row>
    <row r="127" spans="1:10" x14ac:dyDescent="0.3">
      <c r="A127" s="197" t="s">
        <v>31</v>
      </c>
      <c r="B127" s="182" t="s">
        <v>308</v>
      </c>
      <c r="C127" s="180">
        <v>1</v>
      </c>
      <c r="D127" s="193">
        <v>1808.89</v>
      </c>
      <c r="E127" s="184">
        <v>41555</v>
      </c>
      <c r="F127" s="198" t="s">
        <v>241</v>
      </c>
      <c r="G127" s="183" t="s">
        <v>292</v>
      </c>
      <c r="H127" s="182" t="s">
        <v>291</v>
      </c>
      <c r="I127" s="180">
        <v>64</v>
      </c>
      <c r="J127" s="180" t="s">
        <v>307</v>
      </c>
    </row>
    <row r="128" spans="1:10" x14ac:dyDescent="0.3">
      <c r="A128" s="197" t="s">
        <v>31</v>
      </c>
      <c r="B128" s="182" t="s">
        <v>306</v>
      </c>
      <c r="C128" s="180">
        <v>2</v>
      </c>
      <c r="D128" s="193">
        <v>3996.14</v>
      </c>
      <c r="E128" s="184">
        <v>41554</v>
      </c>
      <c r="F128" s="198" t="s">
        <v>241</v>
      </c>
      <c r="G128" s="183" t="s">
        <v>292</v>
      </c>
      <c r="H128" s="182" t="s">
        <v>291</v>
      </c>
      <c r="I128" s="180">
        <v>63</v>
      </c>
      <c r="J128" s="180" t="s">
        <v>290</v>
      </c>
    </row>
    <row r="129" spans="1:10" x14ac:dyDescent="0.3">
      <c r="A129" s="197" t="s">
        <v>31</v>
      </c>
      <c r="B129" s="182" t="s">
        <v>305</v>
      </c>
      <c r="C129" s="180">
        <v>2</v>
      </c>
      <c r="D129" s="193">
        <v>3996.14</v>
      </c>
      <c r="E129" s="184">
        <v>41554</v>
      </c>
      <c r="F129" s="198" t="s">
        <v>241</v>
      </c>
      <c r="G129" s="183" t="s">
        <v>292</v>
      </c>
      <c r="H129" s="182" t="s">
        <v>291</v>
      </c>
      <c r="I129" s="180">
        <v>63</v>
      </c>
      <c r="J129" s="180" t="s">
        <v>290</v>
      </c>
    </row>
    <row r="130" spans="1:10" x14ac:dyDescent="0.3">
      <c r="A130" s="197" t="s">
        <v>31</v>
      </c>
      <c r="B130" s="182" t="s">
        <v>304</v>
      </c>
      <c r="C130" s="180">
        <v>2</v>
      </c>
      <c r="D130" s="193">
        <v>3996.14</v>
      </c>
      <c r="E130" s="184">
        <v>41554</v>
      </c>
      <c r="F130" s="198" t="s">
        <v>241</v>
      </c>
      <c r="G130" s="183" t="s">
        <v>292</v>
      </c>
      <c r="H130" s="182" t="s">
        <v>291</v>
      </c>
      <c r="I130" s="180">
        <v>63</v>
      </c>
      <c r="J130" s="180" t="s">
        <v>290</v>
      </c>
    </row>
    <row r="131" spans="1:10" x14ac:dyDescent="0.3">
      <c r="A131" s="197" t="s">
        <v>31</v>
      </c>
      <c r="B131" s="182" t="s">
        <v>303</v>
      </c>
      <c r="C131" s="180">
        <v>2</v>
      </c>
      <c r="D131" s="193">
        <v>3996.14</v>
      </c>
      <c r="E131" s="184">
        <v>41554</v>
      </c>
      <c r="F131" s="198" t="s">
        <v>241</v>
      </c>
      <c r="G131" s="183" t="s">
        <v>292</v>
      </c>
      <c r="H131" s="182" t="s">
        <v>291</v>
      </c>
      <c r="I131" s="180">
        <v>63</v>
      </c>
      <c r="J131" s="180" t="s">
        <v>290</v>
      </c>
    </row>
    <row r="132" spans="1:10" x14ac:dyDescent="0.3">
      <c r="A132" s="197" t="s">
        <v>31</v>
      </c>
      <c r="B132" s="182" t="s">
        <v>302</v>
      </c>
      <c r="C132" s="189">
        <v>8</v>
      </c>
      <c r="D132" s="193">
        <v>1210.96</v>
      </c>
      <c r="E132" s="184">
        <v>41554</v>
      </c>
      <c r="F132" s="198" t="s">
        <v>241</v>
      </c>
      <c r="G132" s="183" t="s">
        <v>292</v>
      </c>
      <c r="H132" s="182" t="s">
        <v>291</v>
      </c>
      <c r="I132" s="180">
        <v>63</v>
      </c>
      <c r="J132" s="180" t="s">
        <v>290</v>
      </c>
    </row>
    <row r="133" spans="1:10" x14ac:dyDescent="0.3">
      <c r="A133" s="197" t="s">
        <v>31</v>
      </c>
      <c r="B133" s="182" t="s">
        <v>301</v>
      </c>
      <c r="C133" s="180">
        <v>8</v>
      </c>
      <c r="D133" s="193">
        <v>799.52</v>
      </c>
      <c r="E133" s="184">
        <v>41554</v>
      </c>
      <c r="F133" s="198" t="s">
        <v>241</v>
      </c>
      <c r="G133" s="183" t="s">
        <v>292</v>
      </c>
      <c r="H133" s="182" t="s">
        <v>291</v>
      </c>
      <c r="I133" s="180">
        <v>63</v>
      </c>
      <c r="J133" s="180" t="s">
        <v>290</v>
      </c>
    </row>
    <row r="134" spans="1:10" x14ac:dyDescent="0.3">
      <c r="A134" s="197" t="s">
        <v>31</v>
      </c>
      <c r="B134" s="182" t="s">
        <v>300</v>
      </c>
      <c r="C134" s="180">
        <v>8</v>
      </c>
      <c r="D134" s="193">
        <v>1597.92</v>
      </c>
      <c r="E134" s="184">
        <v>41554</v>
      </c>
      <c r="F134" s="198" t="s">
        <v>241</v>
      </c>
      <c r="G134" s="183" t="s">
        <v>292</v>
      </c>
      <c r="H134" s="182" t="s">
        <v>291</v>
      </c>
      <c r="I134" s="180">
        <v>63</v>
      </c>
      <c r="J134" s="180" t="s">
        <v>290</v>
      </c>
    </row>
    <row r="135" spans="1:10" x14ac:dyDescent="0.3">
      <c r="A135" s="197" t="s">
        <v>31</v>
      </c>
      <c r="B135" s="182" t="s">
        <v>299</v>
      </c>
      <c r="C135" s="189">
        <v>16</v>
      </c>
      <c r="D135" s="193">
        <v>22080</v>
      </c>
      <c r="E135" s="184">
        <v>41554</v>
      </c>
      <c r="F135" s="198" t="s">
        <v>241</v>
      </c>
      <c r="G135" s="183" t="s">
        <v>292</v>
      </c>
      <c r="H135" s="182" t="s">
        <v>291</v>
      </c>
      <c r="I135" s="180">
        <v>63</v>
      </c>
      <c r="J135" s="180" t="s">
        <v>290</v>
      </c>
    </row>
    <row r="136" spans="1:10" x14ac:dyDescent="0.3">
      <c r="A136" s="197" t="s">
        <v>31</v>
      </c>
      <c r="B136" s="182" t="s">
        <v>298</v>
      </c>
      <c r="C136" s="189">
        <v>16</v>
      </c>
      <c r="D136" s="193">
        <v>1209.5999999999999</v>
      </c>
      <c r="E136" s="184">
        <v>41554</v>
      </c>
      <c r="F136" s="198" t="s">
        <v>241</v>
      </c>
      <c r="G136" s="183" t="s">
        <v>292</v>
      </c>
      <c r="H136" s="182" t="s">
        <v>291</v>
      </c>
      <c r="I136" s="180">
        <v>63</v>
      </c>
      <c r="J136" s="180" t="s">
        <v>290</v>
      </c>
    </row>
    <row r="137" spans="1:10" x14ac:dyDescent="0.3">
      <c r="A137" s="197" t="s">
        <v>31</v>
      </c>
      <c r="B137" s="182" t="s">
        <v>297</v>
      </c>
      <c r="C137" s="180">
        <v>1</v>
      </c>
      <c r="D137" s="193">
        <v>8960.4599999999991</v>
      </c>
      <c r="E137" s="184">
        <v>41554</v>
      </c>
      <c r="F137" s="198" t="s">
        <v>241</v>
      </c>
      <c r="G137" s="183" t="s">
        <v>292</v>
      </c>
      <c r="H137" s="182" t="s">
        <v>291</v>
      </c>
      <c r="I137" s="180">
        <v>63</v>
      </c>
      <c r="J137" s="180" t="s">
        <v>290</v>
      </c>
    </row>
    <row r="138" spans="1:10" x14ac:dyDescent="0.3">
      <c r="A138" s="197" t="s">
        <v>31</v>
      </c>
      <c r="B138" s="182" t="s">
        <v>296</v>
      </c>
      <c r="C138" s="189">
        <v>140</v>
      </c>
      <c r="D138" s="193">
        <v>12310.2</v>
      </c>
      <c r="E138" s="184">
        <v>41554</v>
      </c>
      <c r="F138" s="198" t="s">
        <v>241</v>
      </c>
      <c r="G138" s="183" t="s">
        <v>292</v>
      </c>
      <c r="H138" s="182" t="s">
        <v>291</v>
      </c>
      <c r="I138" s="180">
        <v>63</v>
      </c>
      <c r="J138" s="180" t="s">
        <v>290</v>
      </c>
    </row>
    <row r="139" spans="1:10" x14ac:dyDescent="0.3">
      <c r="A139" s="197" t="s">
        <v>31</v>
      </c>
      <c r="B139" s="182" t="s">
        <v>295</v>
      </c>
      <c r="C139" s="189">
        <v>40</v>
      </c>
      <c r="D139" s="193">
        <v>1700</v>
      </c>
      <c r="E139" s="184">
        <v>41554</v>
      </c>
      <c r="F139" s="198" t="s">
        <v>241</v>
      </c>
      <c r="G139" s="183" t="s">
        <v>292</v>
      </c>
      <c r="H139" s="182" t="s">
        <v>291</v>
      </c>
      <c r="I139" s="180">
        <v>63</v>
      </c>
      <c r="J139" s="180" t="s">
        <v>290</v>
      </c>
    </row>
    <row r="140" spans="1:10" x14ac:dyDescent="0.3">
      <c r="A140" s="197" t="s">
        <v>31</v>
      </c>
      <c r="B140" s="182" t="s">
        <v>294</v>
      </c>
      <c r="C140" s="189">
        <v>200</v>
      </c>
      <c r="D140" s="193">
        <v>2098</v>
      </c>
      <c r="E140" s="184">
        <v>41554</v>
      </c>
      <c r="F140" s="198" t="s">
        <v>241</v>
      </c>
      <c r="G140" s="183" t="s">
        <v>292</v>
      </c>
      <c r="H140" s="182" t="s">
        <v>291</v>
      </c>
      <c r="I140" s="180">
        <v>63</v>
      </c>
      <c r="J140" s="180" t="s">
        <v>290</v>
      </c>
    </row>
    <row r="141" spans="1:10" x14ac:dyDescent="0.3">
      <c r="A141" s="197" t="s">
        <v>31</v>
      </c>
      <c r="B141" s="182" t="s">
        <v>293</v>
      </c>
      <c r="C141" s="189">
        <v>96</v>
      </c>
      <c r="D141" s="193">
        <v>15977.28</v>
      </c>
      <c r="E141" s="184">
        <v>41554</v>
      </c>
      <c r="F141" s="198" t="s">
        <v>241</v>
      </c>
      <c r="G141" s="183" t="s">
        <v>292</v>
      </c>
      <c r="H141" s="182" t="s">
        <v>291</v>
      </c>
      <c r="I141" s="180">
        <v>63</v>
      </c>
      <c r="J141" s="180" t="s">
        <v>290</v>
      </c>
    </row>
    <row r="142" spans="1:10" x14ac:dyDescent="0.3">
      <c r="A142" s="180" t="s">
        <v>31</v>
      </c>
      <c r="B142" s="182" t="s">
        <v>289</v>
      </c>
      <c r="C142" s="189">
        <v>15</v>
      </c>
      <c r="D142" s="193">
        <v>4650</v>
      </c>
      <c r="E142" s="184">
        <v>42509</v>
      </c>
      <c r="F142" s="183" t="s">
        <v>241</v>
      </c>
      <c r="G142" s="182" t="s">
        <v>287</v>
      </c>
      <c r="H142" s="195" t="s">
        <v>286</v>
      </c>
      <c r="I142" s="180">
        <v>10</v>
      </c>
      <c r="J142" s="61" t="s">
        <v>284</v>
      </c>
    </row>
    <row r="143" spans="1:10" x14ac:dyDescent="0.3">
      <c r="A143" s="180" t="s">
        <v>31</v>
      </c>
      <c r="B143" s="182" t="s">
        <v>288</v>
      </c>
      <c r="C143" s="201">
        <v>8</v>
      </c>
      <c r="D143" s="193">
        <v>9600</v>
      </c>
      <c r="E143" s="200">
        <v>41907</v>
      </c>
      <c r="F143" s="183" t="s">
        <v>241</v>
      </c>
      <c r="G143" s="182" t="s">
        <v>287</v>
      </c>
      <c r="H143" s="195" t="s">
        <v>286</v>
      </c>
      <c r="I143" s="199" t="s">
        <v>285</v>
      </c>
      <c r="J143" s="180" t="s">
        <v>284</v>
      </c>
    </row>
    <row r="144" spans="1:10" x14ac:dyDescent="0.3">
      <c r="A144" s="180" t="s">
        <v>31</v>
      </c>
      <c r="B144" s="198" t="s">
        <v>283</v>
      </c>
      <c r="C144" s="197">
        <v>1</v>
      </c>
      <c r="D144" s="193">
        <v>5200</v>
      </c>
      <c r="E144" s="184">
        <v>42762</v>
      </c>
      <c r="F144" s="183" t="s">
        <v>241</v>
      </c>
      <c r="G144" s="182" t="s">
        <v>272</v>
      </c>
      <c r="H144" s="195" t="s">
        <v>271</v>
      </c>
      <c r="I144" s="181" t="s">
        <v>279</v>
      </c>
      <c r="J144" s="180"/>
    </row>
    <row r="145" spans="1:10" x14ac:dyDescent="0.3">
      <c r="A145" s="180" t="s">
        <v>31</v>
      </c>
      <c r="B145" s="198" t="s">
        <v>282</v>
      </c>
      <c r="C145" s="197">
        <v>1</v>
      </c>
      <c r="D145" s="193">
        <v>10.65</v>
      </c>
      <c r="E145" s="184">
        <v>42762</v>
      </c>
      <c r="F145" s="183" t="s">
        <v>241</v>
      </c>
      <c r="G145" s="182" t="s">
        <v>272</v>
      </c>
      <c r="H145" s="195" t="s">
        <v>271</v>
      </c>
      <c r="I145" s="181" t="s">
        <v>279</v>
      </c>
      <c r="J145" s="180"/>
    </row>
    <row r="146" spans="1:10" x14ac:dyDescent="0.3">
      <c r="A146" s="180" t="s">
        <v>31</v>
      </c>
      <c r="B146" s="198" t="s">
        <v>281</v>
      </c>
      <c r="C146" s="197">
        <v>12</v>
      </c>
      <c r="D146" s="193">
        <v>552</v>
      </c>
      <c r="E146" s="184">
        <v>42762</v>
      </c>
      <c r="F146" s="183" t="s">
        <v>241</v>
      </c>
      <c r="G146" s="182" t="s">
        <v>272</v>
      </c>
      <c r="H146" s="195" t="s">
        <v>271</v>
      </c>
      <c r="I146" s="181" t="s">
        <v>279</v>
      </c>
      <c r="J146" s="180"/>
    </row>
    <row r="147" spans="1:10" ht="15" customHeight="1" x14ac:dyDescent="0.3">
      <c r="A147" s="180" t="s">
        <v>31</v>
      </c>
      <c r="B147" s="198" t="s">
        <v>280</v>
      </c>
      <c r="C147" s="197">
        <v>12</v>
      </c>
      <c r="D147" s="193">
        <v>1032</v>
      </c>
      <c r="E147" s="184">
        <v>42762</v>
      </c>
      <c r="F147" s="183" t="s">
        <v>241</v>
      </c>
      <c r="G147" s="182" t="s">
        <v>272</v>
      </c>
      <c r="H147" s="195" t="s">
        <v>271</v>
      </c>
      <c r="I147" s="181" t="s">
        <v>279</v>
      </c>
      <c r="J147" s="180"/>
    </row>
    <row r="148" spans="1:10" x14ac:dyDescent="0.3">
      <c r="A148" s="180" t="s">
        <v>31</v>
      </c>
      <c r="B148" s="182" t="s">
        <v>278</v>
      </c>
      <c r="C148" s="180">
        <v>1</v>
      </c>
      <c r="D148" s="196">
        <v>1998.07</v>
      </c>
      <c r="E148" s="184">
        <v>41725</v>
      </c>
      <c r="F148" s="183" t="s">
        <v>241</v>
      </c>
      <c r="G148" s="182" t="s">
        <v>272</v>
      </c>
      <c r="H148" s="195" t="s">
        <v>271</v>
      </c>
      <c r="I148" s="190">
        <v>76</v>
      </c>
      <c r="J148" s="180" t="s">
        <v>257</v>
      </c>
    </row>
    <row r="149" spans="1:10" x14ac:dyDescent="0.3">
      <c r="A149" s="180" t="s">
        <v>31</v>
      </c>
      <c r="B149" s="182" t="s">
        <v>277</v>
      </c>
      <c r="C149" s="180">
        <v>1</v>
      </c>
      <c r="D149" s="196">
        <v>1998.07</v>
      </c>
      <c r="E149" s="184">
        <v>41725</v>
      </c>
      <c r="F149" s="183" t="s">
        <v>241</v>
      </c>
      <c r="G149" s="182" t="s">
        <v>272</v>
      </c>
      <c r="H149" s="195" t="s">
        <v>271</v>
      </c>
      <c r="I149" s="190">
        <v>76</v>
      </c>
      <c r="J149" s="180" t="s">
        <v>257</v>
      </c>
    </row>
    <row r="150" spans="1:10" x14ac:dyDescent="0.3">
      <c r="A150" s="180" t="s">
        <v>31</v>
      </c>
      <c r="B150" s="182" t="s">
        <v>276</v>
      </c>
      <c r="C150" s="180">
        <v>1</v>
      </c>
      <c r="D150" s="196">
        <v>1998.07</v>
      </c>
      <c r="E150" s="184">
        <v>41725</v>
      </c>
      <c r="F150" s="183" t="s">
        <v>241</v>
      </c>
      <c r="G150" s="182" t="s">
        <v>272</v>
      </c>
      <c r="H150" s="195" t="s">
        <v>271</v>
      </c>
      <c r="I150" s="190">
        <v>76</v>
      </c>
      <c r="J150" s="180" t="s">
        <v>257</v>
      </c>
    </row>
    <row r="151" spans="1:10" x14ac:dyDescent="0.3">
      <c r="A151" s="180" t="s">
        <v>31</v>
      </c>
      <c r="B151" s="182" t="s">
        <v>275</v>
      </c>
      <c r="C151" s="180">
        <v>1</v>
      </c>
      <c r="D151" s="196">
        <v>1998.07</v>
      </c>
      <c r="E151" s="184">
        <v>41725</v>
      </c>
      <c r="F151" s="183" t="s">
        <v>241</v>
      </c>
      <c r="G151" s="182" t="s">
        <v>272</v>
      </c>
      <c r="H151" s="195" t="s">
        <v>271</v>
      </c>
      <c r="I151" s="190">
        <v>76</v>
      </c>
      <c r="J151" s="180" t="s">
        <v>257</v>
      </c>
    </row>
    <row r="152" spans="1:10" x14ac:dyDescent="0.3">
      <c r="A152" s="180" t="s">
        <v>31</v>
      </c>
      <c r="B152" s="182" t="s">
        <v>266</v>
      </c>
      <c r="C152" s="189">
        <v>4</v>
      </c>
      <c r="D152" s="196">
        <v>605.48</v>
      </c>
      <c r="E152" s="184">
        <v>41725</v>
      </c>
      <c r="F152" s="183" t="s">
        <v>241</v>
      </c>
      <c r="G152" s="182" t="s">
        <v>272</v>
      </c>
      <c r="H152" s="195" t="s">
        <v>271</v>
      </c>
      <c r="I152" s="190">
        <v>76</v>
      </c>
      <c r="J152" s="180" t="s">
        <v>257</v>
      </c>
    </row>
    <row r="153" spans="1:10" x14ac:dyDescent="0.3">
      <c r="A153" s="180" t="s">
        <v>31</v>
      </c>
      <c r="B153" s="182" t="s">
        <v>265</v>
      </c>
      <c r="C153" s="180">
        <v>4</v>
      </c>
      <c r="D153" s="196">
        <v>399.76</v>
      </c>
      <c r="E153" s="184">
        <v>41725</v>
      </c>
      <c r="F153" s="183" t="s">
        <v>241</v>
      </c>
      <c r="G153" s="182" t="s">
        <v>272</v>
      </c>
      <c r="H153" s="195" t="s">
        <v>271</v>
      </c>
      <c r="I153" s="190">
        <v>76</v>
      </c>
      <c r="J153" s="180" t="s">
        <v>257</v>
      </c>
    </row>
    <row r="154" spans="1:10" x14ac:dyDescent="0.3">
      <c r="A154" s="180" t="s">
        <v>31</v>
      </c>
      <c r="B154" s="182" t="s">
        <v>264</v>
      </c>
      <c r="C154" s="180">
        <v>4</v>
      </c>
      <c r="D154" s="196">
        <v>798.96</v>
      </c>
      <c r="E154" s="184">
        <v>41725</v>
      </c>
      <c r="F154" s="183" t="s">
        <v>241</v>
      </c>
      <c r="G154" s="182" t="s">
        <v>272</v>
      </c>
      <c r="H154" s="195" t="s">
        <v>271</v>
      </c>
      <c r="I154" s="190">
        <v>76</v>
      </c>
      <c r="J154" s="180" t="s">
        <v>257</v>
      </c>
    </row>
    <row r="155" spans="1:10" x14ac:dyDescent="0.3">
      <c r="A155" s="180" t="s">
        <v>31</v>
      </c>
      <c r="B155" s="182" t="s">
        <v>274</v>
      </c>
      <c r="C155" s="189">
        <v>8</v>
      </c>
      <c r="D155" s="196">
        <v>12881.2</v>
      </c>
      <c r="E155" s="184">
        <v>41725</v>
      </c>
      <c r="F155" s="183" t="s">
        <v>241</v>
      </c>
      <c r="G155" s="182" t="s">
        <v>272</v>
      </c>
      <c r="H155" s="195" t="s">
        <v>271</v>
      </c>
      <c r="I155" s="190">
        <v>76</v>
      </c>
      <c r="J155" s="180" t="s">
        <v>257</v>
      </c>
    </row>
    <row r="156" spans="1:10" x14ac:dyDescent="0.3">
      <c r="A156" s="180" t="s">
        <v>31</v>
      </c>
      <c r="B156" s="182" t="s">
        <v>263</v>
      </c>
      <c r="C156" s="189">
        <v>8</v>
      </c>
      <c r="D156" s="196">
        <v>604.79999999999995</v>
      </c>
      <c r="E156" s="184">
        <v>41725</v>
      </c>
      <c r="F156" s="183" t="s">
        <v>241</v>
      </c>
      <c r="G156" s="182" t="s">
        <v>272</v>
      </c>
      <c r="H156" s="195" t="s">
        <v>271</v>
      </c>
      <c r="I156" s="190">
        <v>76</v>
      </c>
      <c r="J156" s="180" t="s">
        <v>257</v>
      </c>
    </row>
    <row r="157" spans="1:10" x14ac:dyDescent="0.3">
      <c r="A157" s="180" t="s">
        <v>31</v>
      </c>
      <c r="B157" s="182" t="s">
        <v>262</v>
      </c>
      <c r="C157" s="180">
        <v>1</v>
      </c>
      <c r="D157" s="196">
        <v>8960.4599999999991</v>
      </c>
      <c r="E157" s="184">
        <v>41725</v>
      </c>
      <c r="F157" s="183" t="s">
        <v>241</v>
      </c>
      <c r="G157" s="182" t="s">
        <v>272</v>
      </c>
      <c r="H157" s="195" t="s">
        <v>271</v>
      </c>
      <c r="I157" s="190">
        <v>76</v>
      </c>
      <c r="J157" s="180" t="s">
        <v>257</v>
      </c>
    </row>
    <row r="158" spans="1:10" x14ac:dyDescent="0.3">
      <c r="A158" s="180" t="s">
        <v>31</v>
      </c>
      <c r="B158" s="182" t="s">
        <v>273</v>
      </c>
      <c r="C158" s="189">
        <v>36</v>
      </c>
      <c r="D158" s="196">
        <v>3165.48</v>
      </c>
      <c r="E158" s="184">
        <v>41725</v>
      </c>
      <c r="F158" s="183" t="s">
        <v>241</v>
      </c>
      <c r="G158" s="182" t="s">
        <v>272</v>
      </c>
      <c r="H158" s="195" t="s">
        <v>271</v>
      </c>
      <c r="I158" s="190">
        <v>76</v>
      </c>
      <c r="J158" s="180" t="s">
        <v>257</v>
      </c>
    </row>
    <row r="159" spans="1:10" x14ac:dyDescent="0.3">
      <c r="A159" s="180" t="s">
        <v>31</v>
      </c>
      <c r="B159" s="182" t="s">
        <v>260</v>
      </c>
      <c r="C159" s="189">
        <v>45</v>
      </c>
      <c r="D159" s="196">
        <v>1912.5</v>
      </c>
      <c r="E159" s="184">
        <v>41725</v>
      </c>
      <c r="F159" s="183" t="s">
        <v>241</v>
      </c>
      <c r="G159" s="182" t="s">
        <v>272</v>
      </c>
      <c r="H159" s="195" t="s">
        <v>271</v>
      </c>
      <c r="I159" s="190">
        <v>76</v>
      </c>
      <c r="J159" s="180" t="s">
        <v>257</v>
      </c>
    </row>
    <row r="160" spans="1:10" x14ac:dyDescent="0.3">
      <c r="A160" s="180" t="s">
        <v>31</v>
      </c>
      <c r="B160" s="182" t="s">
        <v>259</v>
      </c>
      <c r="C160" s="189">
        <v>237</v>
      </c>
      <c r="D160" s="196">
        <v>2486.13</v>
      </c>
      <c r="E160" s="184">
        <v>41725</v>
      </c>
      <c r="F160" s="183" t="s">
        <v>241</v>
      </c>
      <c r="G160" s="182" t="s">
        <v>272</v>
      </c>
      <c r="H160" s="195" t="s">
        <v>271</v>
      </c>
      <c r="I160" s="190">
        <v>76</v>
      </c>
      <c r="J160" s="180" t="s">
        <v>257</v>
      </c>
    </row>
    <row r="161" spans="1:10" x14ac:dyDescent="0.3">
      <c r="A161" s="180" t="s">
        <v>31</v>
      </c>
      <c r="B161" s="182" t="s">
        <v>258</v>
      </c>
      <c r="C161" s="189">
        <v>8</v>
      </c>
      <c r="D161" s="196">
        <v>1331.44</v>
      </c>
      <c r="E161" s="184">
        <v>41725</v>
      </c>
      <c r="F161" s="183" t="s">
        <v>241</v>
      </c>
      <c r="G161" s="182" t="s">
        <v>272</v>
      </c>
      <c r="H161" s="195" t="s">
        <v>271</v>
      </c>
      <c r="I161" s="190">
        <v>76</v>
      </c>
      <c r="J161" s="180" t="s">
        <v>257</v>
      </c>
    </row>
    <row r="162" spans="1:10" x14ac:dyDescent="0.3">
      <c r="A162" s="188" t="s">
        <v>31</v>
      </c>
      <c r="B162" s="182" t="s">
        <v>270</v>
      </c>
      <c r="C162" s="180">
        <v>2</v>
      </c>
      <c r="D162" s="187">
        <v>3996.14</v>
      </c>
      <c r="E162" s="184">
        <v>41597</v>
      </c>
      <c r="F162" s="183" t="s">
        <v>241</v>
      </c>
      <c r="G162" s="183" t="s">
        <v>240</v>
      </c>
      <c r="H162" s="182" t="s">
        <v>239</v>
      </c>
      <c r="I162" s="190">
        <v>68</v>
      </c>
      <c r="J162" s="180" t="s">
        <v>257</v>
      </c>
    </row>
    <row r="163" spans="1:10" x14ac:dyDescent="0.3">
      <c r="A163" s="188" t="s">
        <v>31</v>
      </c>
      <c r="B163" s="182" t="s">
        <v>269</v>
      </c>
      <c r="C163" s="180">
        <v>2</v>
      </c>
      <c r="D163" s="187">
        <v>3996.14</v>
      </c>
      <c r="E163" s="184">
        <v>41597</v>
      </c>
      <c r="F163" s="183" t="s">
        <v>241</v>
      </c>
      <c r="G163" s="183" t="s">
        <v>240</v>
      </c>
      <c r="H163" s="182" t="s">
        <v>239</v>
      </c>
      <c r="I163" s="190">
        <v>68</v>
      </c>
      <c r="J163" s="180" t="s">
        <v>257</v>
      </c>
    </row>
    <row r="164" spans="1:10" x14ac:dyDescent="0.3">
      <c r="A164" s="186" t="s">
        <v>31</v>
      </c>
      <c r="B164" s="182" t="s">
        <v>268</v>
      </c>
      <c r="C164" s="180">
        <v>2</v>
      </c>
      <c r="D164" s="187">
        <v>3996.14</v>
      </c>
      <c r="E164" s="184">
        <v>41597</v>
      </c>
      <c r="F164" s="183" t="s">
        <v>241</v>
      </c>
      <c r="G164" s="183" t="s">
        <v>240</v>
      </c>
      <c r="H164" s="182" t="s">
        <v>239</v>
      </c>
      <c r="I164" s="190">
        <v>68</v>
      </c>
      <c r="J164" s="180" t="s">
        <v>257</v>
      </c>
    </row>
    <row r="165" spans="1:10" x14ac:dyDescent="0.3">
      <c r="A165" s="188" t="s">
        <v>31</v>
      </c>
      <c r="B165" s="182" t="s">
        <v>267</v>
      </c>
      <c r="C165" s="180">
        <v>2</v>
      </c>
      <c r="D165" s="193">
        <v>3996.14</v>
      </c>
      <c r="E165" s="184">
        <v>41597</v>
      </c>
      <c r="F165" s="183" t="s">
        <v>241</v>
      </c>
      <c r="G165" s="183" t="s">
        <v>240</v>
      </c>
      <c r="H165" s="182" t="s">
        <v>239</v>
      </c>
      <c r="I165" s="190">
        <v>68</v>
      </c>
      <c r="J165" s="180" t="s">
        <v>257</v>
      </c>
    </row>
    <row r="166" spans="1:10" x14ac:dyDescent="0.3">
      <c r="A166" s="188" t="s">
        <v>31</v>
      </c>
      <c r="B166" s="182" t="s">
        <v>266</v>
      </c>
      <c r="C166" s="189">
        <v>8</v>
      </c>
      <c r="D166" s="192">
        <v>1210.96</v>
      </c>
      <c r="E166" s="184">
        <v>41597</v>
      </c>
      <c r="F166" s="183" t="s">
        <v>241</v>
      </c>
      <c r="G166" s="183" t="s">
        <v>240</v>
      </c>
      <c r="H166" s="182" t="s">
        <v>239</v>
      </c>
      <c r="I166" s="190">
        <v>68</v>
      </c>
      <c r="J166" s="180" t="s">
        <v>257</v>
      </c>
    </row>
    <row r="167" spans="1:10" x14ac:dyDescent="0.3">
      <c r="A167" s="186" t="s">
        <v>31</v>
      </c>
      <c r="B167" s="182" t="s">
        <v>265</v>
      </c>
      <c r="C167" s="180">
        <v>8</v>
      </c>
      <c r="D167" s="191">
        <v>799.52</v>
      </c>
      <c r="E167" s="184">
        <v>41597</v>
      </c>
      <c r="F167" s="183" t="s">
        <v>241</v>
      </c>
      <c r="G167" s="183" t="s">
        <v>240</v>
      </c>
      <c r="H167" s="182" t="s">
        <v>239</v>
      </c>
      <c r="I167" s="190">
        <v>68</v>
      </c>
      <c r="J167" s="180" t="s">
        <v>257</v>
      </c>
    </row>
    <row r="168" spans="1:10" x14ac:dyDescent="0.3">
      <c r="A168" s="188" t="s">
        <v>31</v>
      </c>
      <c r="B168" s="182" t="s">
        <v>264</v>
      </c>
      <c r="C168" s="180">
        <v>8</v>
      </c>
      <c r="D168" s="194">
        <v>1597.92</v>
      </c>
      <c r="E168" s="184">
        <v>41597</v>
      </c>
      <c r="F168" s="183" t="s">
        <v>241</v>
      </c>
      <c r="G168" s="183" t="s">
        <v>240</v>
      </c>
      <c r="H168" s="182" t="s">
        <v>239</v>
      </c>
      <c r="I168" s="190">
        <v>68</v>
      </c>
      <c r="J168" s="180" t="s">
        <v>257</v>
      </c>
    </row>
    <row r="169" spans="1:10" x14ac:dyDescent="0.3">
      <c r="A169" s="188" t="s">
        <v>31</v>
      </c>
      <c r="B169" s="182" t="s">
        <v>263</v>
      </c>
      <c r="C169" s="189">
        <v>16</v>
      </c>
      <c r="D169" s="185">
        <v>1209.5999999999999</v>
      </c>
      <c r="E169" s="184">
        <v>41597</v>
      </c>
      <c r="F169" s="183" t="s">
        <v>241</v>
      </c>
      <c r="G169" s="183" t="s">
        <v>240</v>
      </c>
      <c r="H169" s="182" t="s">
        <v>239</v>
      </c>
      <c r="I169" s="190">
        <v>68</v>
      </c>
      <c r="J169" s="180" t="s">
        <v>257</v>
      </c>
    </row>
    <row r="170" spans="1:10" x14ac:dyDescent="0.3">
      <c r="A170" s="186" t="s">
        <v>31</v>
      </c>
      <c r="B170" s="182" t="s">
        <v>262</v>
      </c>
      <c r="C170" s="180">
        <v>1</v>
      </c>
      <c r="D170" s="193">
        <v>8960.4599999999991</v>
      </c>
      <c r="E170" s="184">
        <v>41597</v>
      </c>
      <c r="F170" s="183" t="s">
        <v>241</v>
      </c>
      <c r="G170" s="183" t="s">
        <v>240</v>
      </c>
      <c r="H170" s="182" t="s">
        <v>239</v>
      </c>
      <c r="I170" s="190">
        <v>68</v>
      </c>
      <c r="J170" s="180" t="s">
        <v>257</v>
      </c>
    </row>
    <row r="171" spans="1:10" x14ac:dyDescent="0.3">
      <c r="A171" s="188" t="s">
        <v>31</v>
      </c>
      <c r="B171" s="182" t="s">
        <v>261</v>
      </c>
      <c r="C171" s="189">
        <v>144</v>
      </c>
      <c r="D171" s="193">
        <v>12661.92</v>
      </c>
      <c r="E171" s="184">
        <v>41597</v>
      </c>
      <c r="F171" s="183" t="s">
        <v>241</v>
      </c>
      <c r="G171" s="183" t="s">
        <v>240</v>
      </c>
      <c r="H171" s="182" t="s">
        <v>239</v>
      </c>
      <c r="I171" s="190">
        <v>68</v>
      </c>
      <c r="J171" s="180" t="s">
        <v>257</v>
      </c>
    </row>
    <row r="172" spans="1:10" x14ac:dyDescent="0.3">
      <c r="A172" s="188" t="s">
        <v>31</v>
      </c>
      <c r="B172" s="182" t="s">
        <v>260</v>
      </c>
      <c r="C172" s="189">
        <v>168</v>
      </c>
      <c r="D172" s="187">
        <v>7140</v>
      </c>
      <c r="E172" s="184">
        <v>41597</v>
      </c>
      <c r="F172" s="183" t="s">
        <v>241</v>
      </c>
      <c r="G172" s="183" t="s">
        <v>240</v>
      </c>
      <c r="H172" s="182" t="s">
        <v>239</v>
      </c>
      <c r="I172" s="190">
        <v>68</v>
      </c>
      <c r="J172" s="180" t="s">
        <v>257</v>
      </c>
    </row>
    <row r="173" spans="1:10" x14ac:dyDescent="0.3">
      <c r="A173" s="186" t="s">
        <v>31</v>
      </c>
      <c r="B173" s="182" t="s">
        <v>259</v>
      </c>
      <c r="C173" s="189">
        <v>174</v>
      </c>
      <c r="D173" s="192">
        <v>1825.26</v>
      </c>
      <c r="E173" s="184">
        <v>41597</v>
      </c>
      <c r="F173" s="183" t="s">
        <v>241</v>
      </c>
      <c r="G173" s="183" t="s">
        <v>240</v>
      </c>
      <c r="H173" s="182" t="s">
        <v>239</v>
      </c>
      <c r="I173" s="190">
        <v>68</v>
      </c>
      <c r="J173" s="180" t="s">
        <v>257</v>
      </c>
    </row>
    <row r="174" spans="1:10" x14ac:dyDescent="0.3">
      <c r="A174" s="188" t="s">
        <v>31</v>
      </c>
      <c r="B174" s="182" t="s">
        <v>258</v>
      </c>
      <c r="C174" s="189">
        <v>88</v>
      </c>
      <c r="D174" s="191">
        <v>14645.84</v>
      </c>
      <c r="E174" s="184">
        <v>41597</v>
      </c>
      <c r="F174" s="183" t="s">
        <v>241</v>
      </c>
      <c r="G174" s="183" t="s">
        <v>240</v>
      </c>
      <c r="H174" s="182" t="s">
        <v>239</v>
      </c>
      <c r="I174" s="190">
        <v>68</v>
      </c>
      <c r="J174" s="180" t="s">
        <v>257</v>
      </c>
    </row>
    <row r="175" spans="1:10" x14ac:dyDescent="0.3">
      <c r="A175" s="188" t="s">
        <v>31</v>
      </c>
      <c r="B175" s="182" t="s">
        <v>256</v>
      </c>
      <c r="C175" s="180">
        <v>2</v>
      </c>
      <c r="D175" s="185">
        <v>1455.32</v>
      </c>
      <c r="E175" s="184">
        <v>41596</v>
      </c>
      <c r="F175" s="183" t="s">
        <v>241</v>
      </c>
      <c r="G175" s="183" t="s">
        <v>240</v>
      </c>
      <c r="H175" s="182" t="s">
        <v>239</v>
      </c>
      <c r="I175" s="180">
        <v>66</v>
      </c>
      <c r="J175" s="180" t="s">
        <v>255</v>
      </c>
    </row>
    <row r="176" spans="1:10" x14ac:dyDescent="0.3">
      <c r="A176" s="186" t="s">
        <v>31</v>
      </c>
      <c r="B176" s="182" t="s">
        <v>254</v>
      </c>
      <c r="C176" s="189">
        <v>1</v>
      </c>
      <c r="D176" s="185">
        <v>1212.1500000000001</v>
      </c>
      <c r="E176" s="184">
        <v>41499</v>
      </c>
      <c r="F176" s="183" t="s">
        <v>241</v>
      </c>
      <c r="G176" s="183" t="s">
        <v>240</v>
      </c>
      <c r="H176" s="182" t="s">
        <v>239</v>
      </c>
      <c r="I176" s="180">
        <v>58</v>
      </c>
      <c r="J176" s="180" t="s">
        <v>253</v>
      </c>
    </row>
    <row r="177" spans="1:10" x14ac:dyDescent="0.3">
      <c r="A177" s="188" t="s">
        <v>31</v>
      </c>
      <c r="B177" s="182" t="s">
        <v>252</v>
      </c>
      <c r="C177" s="189">
        <v>2</v>
      </c>
      <c r="D177" s="185">
        <v>2490</v>
      </c>
      <c r="E177" s="184">
        <v>41464</v>
      </c>
      <c r="F177" s="183" t="s">
        <v>241</v>
      </c>
      <c r="G177" s="183" t="s">
        <v>240</v>
      </c>
      <c r="H177" s="182" t="s">
        <v>239</v>
      </c>
      <c r="I177" s="180">
        <v>55</v>
      </c>
      <c r="J177" s="180" t="s">
        <v>251</v>
      </c>
    </row>
    <row r="178" spans="1:10" x14ac:dyDescent="0.3">
      <c r="A178" s="188" t="s">
        <v>31</v>
      </c>
      <c r="B178" s="182" t="s">
        <v>250</v>
      </c>
      <c r="C178" s="189">
        <v>2</v>
      </c>
      <c r="D178" s="185">
        <v>599.79999999999995</v>
      </c>
      <c r="E178" s="184">
        <v>41453</v>
      </c>
      <c r="F178" s="183" t="s">
        <v>241</v>
      </c>
      <c r="G178" s="183" t="s">
        <v>240</v>
      </c>
      <c r="H178" s="182" t="s">
        <v>239</v>
      </c>
      <c r="I178" s="180">
        <v>54</v>
      </c>
      <c r="J178" s="180" t="s">
        <v>249</v>
      </c>
    </row>
    <row r="179" spans="1:10" x14ac:dyDescent="0.3">
      <c r="A179" s="186" t="s">
        <v>31</v>
      </c>
      <c r="B179" s="182" t="s">
        <v>248</v>
      </c>
      <c r="C179" s="189">
        <v>2</v>
      </c>
      <c r="D179" s="185">
        <v>6980</v>
      </c>
      <c r="E179" s="184">
        <v>41453</v>
      </c>
      <c r="F179" s="183" t="s">
        <v>241</v>
      </c>
      <c r="G179" s="183" t="s">
        <v>240</v>
      </c>
      <c r="H179" s="182" t="s">
        <v>239</v>
      </c>
      <c r="I179" s="180">
        <v>54</v>
      </c>
      <c r="J179" s="180" t="s">
        <v>247</v>
      </c>
    </row>
    <row r="180" spans="1:10" x14ac:dyDescent="0.3">
      <c r="A180" s="188" t="s">
        <v>31</v>
      </c>
      <c r="B180" s="182" t="s">
        <v>246</v>
      </c>
      <c r="C180" s="189">
        <v>1</v>
      </c>
      <c r="D180" s="185">
        <v>1104.1500000000001</v>
      </c>
      <c r="E180" s="184">
        <v>41453</v>
      </c>
      <c r="F180" s="183" t="s">
        <v>241</v>
      </c>
      <c r="G180" s="183" t="s">
        <v>240</v>
      </c>
      <c r="H180" s="182" t="s">
        <v>239</v>
      </c>
      <c r="I180" s="180">
        <v>54</v>
      </c>
      <c r="J180" s="180" t="s">
        <v>245</v>
      </c>
    </row>
    <row r="181" spans="1:10" x14ac:dyDescent="0.3">
      <c r="A181" s="188" t="s">
        <v>31</v>
      </c>
      <c r="B181" s="182" t="s">
        <v>244</v>
      </c>
      <c r="C181" s="180">
        <v>1</v>
      </c>
      <c r="D181" s="187">
        <v>1795.55</v>
      </c>
      <c r="E181" s="184">
        <v>41421</v>
      </c>
      <c r="F181" s="183" t="s">
        <v>241</v>
      </c>
      <c r="G181" s="183" t="s">
        <v>240</v>
      </c>
      <c r="H181" s="182" t="s">
        <v>239</v>
      </c>
      <c r="I181" s="181"/>
      <c r="J181" s="180" t="s">
        <v>243</v>
      </c>
    </row>
    <row r="182" spans="1:10" x14ac:dyDescent="0.3">
      <c r="A182" s="186" t="s">
        <v>31</v>
      </c>
      <c r="B182" s="182" t="s">
        <v>242</v>
      </c>
      <c r="C182" s="180">
        <v>1</v>
      </c>
      <c r="D182" s="185">
        <v>600</v>
      </c>
      <c r="E182" s="184">
        <v>41410</v>
      </c>
      <c r="F182" s="183" t="s">
        <v>241</v>
      </c>
      <c r="G182" s="183" t="s">
        <v>240</v>
      </c>
      <c r="H182" s="182" t="s">
        <v>239</v>
      </c>
      <c r="I182" s="181"/>
      <c r="J182" s="180" t="s">
        <v>238</v>
      </c>
    </row>
    <row r="183" spans="1:10" x14ac:dyDescent="0.3">
      <c r="A183" s="5"/>
      <c r="B183" s="161"/>
      <c r="C183" s="5"/>
      <c r="D183" s="179"/>
      <c r="E183" s="163"/>
      <c r="F183" s="161"/>
      <c r="G183" s="161"/>
      <c r="H183" s="160"/>
      <c r="I183" s="178"/>
    </row>
    <row r="184" spans="1:10" x14ac:dyDescent="0.3">
      <c r="A184" s="175"/>
      <c r="B184" s="176"/>
      <c r="C184" s="175"/>
      <c r="D184" s="177"/>
      <c r="E184" s="175"/>
      <c r="F184" s="176"/>
      <c r="G184" s="176"/>
      <c r="H184" s="176"/>
      <c r="I184" s="175"/>
    </row>
    <row r="185" spans="1:10" x14ac:dyDescent="0.3">
      <c r="A185" s="175"/>
      <c r="B185" s="176"/>
      <c r="C185" s="175"/>
      <c r="D185" s="177"/>
      <c r="E185" s="175"/>
      <c r="F185" s="176"/>
      <c r="G185" s="176"/>
      <c r="H185" s="176"/>
      <c r="I185" s="175"/>
    </row>
    <row r="186" spans="1:10" x14ac:dyDescent="0.3">
      <c r="A186" s="170"/>
      <c r="B186" s="172"/>
      <c r="C186" s="170"/>
      <c r="D186" s="174"/>
      <c r="E186" s="173"/>
      <c r="F186" s="172"/>
      <c r="G186" s="171"/>
      <c r="H186" s="171"/>
      <c r="I186" s="170"/>
    </row>
    <row r="187" spans="1:10" x14ac:dyDescent="0.3">
      <c r="A187" s="165"/>
      <c r="B187" s="162"/>
      <c r="C187" s="165"/>
      <c r="D187" s="167"/>
      <c r="E187" s="163"/>
      <c r="F187" s="162"/>
      <c r="G187" s="161"/>
      <c r="H187" s="160"/>
      <c r="I187" s="166"/>
    </row>
    <row r="188" spans="1:10" x14ac:dyDescent="0.3">
      <c r="A188" s="165"/>
      <c r="B188" s="169"/>
      <c r="C188" s="168"/>
      <c r="D188" s="167"/>
      <c r="E188" s="163"/>
      <c r="F188" s="162"/>
      <c r="G188" s="161"/>
      <c r="H188" s="160"/>
      <c r="I188" s="166"/>
    </row>
    <row r="189" spans="1:10" x14ac:dyDescent="0.3">
      <c r="A189" s="165"/>
      <c r="B189" s="169"/>
      <c r="C189" s="168"/>
      <c r="D189" s="167"/>
      <c r="E189" s="163"/>
      <c r="F189" s="162"/>
      <c r="G189" s="161"/>
      <c r="H189" s="160"/>
      <c r="I189" s="166"/>
    </row>
    <row r="190" spans="1:10" x14ac:dyDescent="0.3">
      <c r="A190" s="165"/>
      <c r="B190" s="169"/>
      <c r="C190" s="168"/>
      <c r="D190" s="167"/>
      <c r="E190" s="163"/>
      <c r="F190" s="162"/>
      <c r="G190" s="161"/>
      <c r="H190" s="160"/>
      <c r="I190" s="166"/>
    </row>
    <row r="191" spans="1:10" x14ac:dyDescent="0.3">
      <c r="A191" s="165"/>
      <c r="B191" s="169"/>
      <c r="C191" s="168"/>
      <c r="D191" s="167"/>
      <c r="E191" s="163"/>
      <c r="F191" s="162"/>
      <c r="G191" s="161"/>
      <c r="H191" s="160"/>
      <c r="I191" s="166"/>
    </row>
    <row r="192" spans="1:10" x14ac:dyDescent="0.3">
      <c r="A192" s="165"/>
      <c r="B192" s="162"/>
      <c r="C192" s="165"/>
      <c r="D192" s="167"/>
      <c r="E192" s="163"/>
      <c r="F192" s="162"/>
      <c r="G192" s="161"/>
      <c r="H192" s="160"/>
      <c r="I192" s="166"/>
    </row>
    <row r="193" spans="1:9" x14ac:dyDescent="0.3">
      <c r="A193" s="165"/>
      <c r="B193" s="169"/>
      <c r="C193" s="168"/>
      <c r="D193" s="167"/>
      <c r="E193" s="163"/>
      <c r="F193" s="162"/>
      <c r="G193" s="161"/>
      <c r="H193" s="160"/>
      <c r="I193" s="166"/>
    </row>
    <row r="194" spans="1:9" x14ac:dyDescent="0.3">
      <c r="A194" s="165"/>
      <c r="B194" s="169"/>
      <c r="C194" s="168"/>
      <c r="D194" s="167"/>
      <c r="E194" s="163"/>
      <c r="F194" s="162"/>
      <c r="G194" s="161"/>
      <c r="H194" s="160"/>
      <c r="I194" s="166"/>
    </row>
    <row r="195" spans="1:9" x14ac:dyDescent="0.3">
      <c r="A195" s="165"/>
      <c r="B195" s="161"/>
      <c r="C195" s="5"/>
      <c r="D195" s="164"/>
      <c r="E195" s="163"/>
      <c r="F195" s="162"/>
      <c r="G195" s="161"/>
      <c r="H195" s="160"/>
      <c r="I195" s="5"/>
    </row>
    <row r="196" spans="1:9" x14ac:dyDescent="0.3">
      <c r="A196" s="165"/>
      <c r="B196" s="161"/>
      <c r="C196" s="5"/>
      <c r="D196" s="164"/>
      <c r="E196" s="163"/>
      <c r="F196" s="162"/>
      <c r="G196" s="161"/>
      <c r="H196" s="160"/>
      <c r="I196" s="5"/>
    </row>
    <row r="197" spans="1:9" x14ac:dyDescent="0.3">
      <c r="A197" s="165"/>
      <c r="B197" s="161"/>
      <c r="C197" s="5"/>
      <c r="D197" s="164"/>
      <c r="E197" s="163"/>
      <c r="F197" s="162"/>
      <c r="G197" s="161"/>
      <c r="H197" s="160"/>
      <c r="I197" s="5"/>
    </row>
  </sheetData>
  <autoFilter ref="A1:J182" xr:uid="{289941AE-D876-4831-96D1-6CC1DA2A8577}">
    <sortState xmlns:xlrd2="http://schemas.microsoft.com/office/spreadsheetml/2017/richdata2" ref="A2:J182">
      <sortCondition ref="A1:A182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8EA6-6AD3-4A09-85B6-B9D09298740B}">
  <sheetPr>
    <tabColor theme="2" tint="-9.9978637043366805E-2"/>
  </sheetPr>
  <dimension ref="A1:AL35"/>
  <sheetViews>
    <sheetView showGridLines="0" workbookViewId="0">
      <selection activeCell="P4" sqref="P4:P30"/>
    </sheetView>
  </sheetViews>
  <sheetFormatPr defaultColWidth="0" defaultRowHeight="14.4" zeroHeight="1" x14ac:dyDescent="0.3"/>
  <cols>
    <col min="1" max="1" width="2.6640625" customWidth="1"/>
    <col min="2" max="2" width="9.6640625" bestFit="1" customWidth="1"/>
    <col min="3" max="30" width="12.6640625" customWidth="1"/>
    <col min="31" max="31" width="2.6640625" customWidth="1"/>
    <col min="32" max="38" width="0" hidden="1" customWidth="1"/>
    <col min="39" max="16384" width="8.88671875" hidden="1"/>
  </cols>
  <sheetData>
    <row r="1" spans="1:31" ht="18" x14ac:dyDescent="0.35">
      <c r="A1" s="244" t="s">
        <v>478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</row>
    <row r="2" spans="1:31" x14ac:dyDescent="0.3"/>
    <row r="3" spans="1:31" x14ac:dyDescent="0.3">
      <c r="B3" s="13" t="s">
        <v>52</v>
      </c>
      <c r="C3" s="8" t="str">
        <f>'CTs-Consolidado'!C3</f>
        <v>CTs 2013</v>
      </c>
      <c r="D3" s="8" t="str">
        <f>'CTs-Consolidado'!D3</f>
        <v>CTs 2014</v>
      </c>
      <c r="E3" s="8" t="str">
        <f>'CTs-Consolidado'!E3</f>
        <v>CTs 2015</v>
      </c>
      <c r="F3" s="8" t="str">
        <f>'CTs-Consolidado'!F3</f>
        <v>CTs 2016</v>
      </c>
      <c r="G3" s="8" t="str">
        <f>'CTs-Consolidado'!G3</f>
        <v>CTs 2017</v>
      </c>
      <c r="H3" s="8" t="str">
        <f>'CTs-Consolidado'!H3</f>
        <v>CTs 2018</v>
      </c>
      <c r="I3" s="8" t="str">
        <f>'CTs-Consolidado'!I3</f>
        <v>CTs 2019</v>
      </c>
      <c r="J3" s="8" t="str">
        <f>'PAF-Consolidado'!J3</f>
        <v>PAF.EM 2013</v>
      </c>
      <c r="K3" s="8" t="str">
        <f>'PAF-Consolidado'!K3</f>
        <v>PAF.EM 2014</v>
      </c>
      <c r="L3" s="8" t="str">
        <f>'PAF-Consolidado'!L3</f>
        <v>PAF.EM 2015</v>
      </c>
      <c r="M3" s="8" t="str">
        <f>'PAF-Consolidado'!M3</f>
        <v>PAF.EM 2016</v>
      </c>
      <c r="N3" s="8" t="str">
        <f>'PAF-Consolidado'!N3</f>
        <v>PAF.EM 2017</v>
      </c>
      <c r="O3" s="8" t="str">
        <f>'PAF-Consolidado'!O3</f>
        <v>PAF.EM 2018</v>
      </c>
      <c r="P3" s="8" t="str">
        <f>'PAF-Consolidado'!P3</f>
        <v>PAF.EM 2019</v>
      </c>
      <c r="Q3" s="8" t="s">
        <v>481</v>
      </c>
      <c r="R3" s="8" t="s">
        <v>482</v>
      </c>
      <c r="S3" s="8" t="s">
        <v>483</v>
      </c>
      <c r="T3" s="8" t="s">
        <v>484</v>
      </c>
      <c r="U3" s="8" t="s">
        <v>485</v>
      </c>
      <c r="V3" s="8" t="s">
        <v>486</v>
      </c>
      <c r="W3" s="8" t="s">
        <v>487</v>
      </c>
      <c r="X3" s="10" t="s">
        <v>455</v>
      </c>
      <c r="Y3" s="10" t="s">
        <v>456</v>
      </c>
      <c r="Z3" s="10" t="s">
        <v>457</v>
      </c>
      <c r="AA3" s="10" t="s">
        <v>458</v>
      </c>
      <c r="AB3" s="10" t="s">
        <v>459</v>
      </c>
      <c r="AC3" s="10" t="s">
        <v>460</v>
      </c>
      <c r="AD3" s="10" t="s">
        <v>461</v>
      </c>
    </row>
    <row r="4" spans="1:31" x14ac:dyDescent="0.3">
      <c r="B4" s="9" t="s">
        <v>0</v>
      </c>
      <c r="C4" s="216">
        <f>'CTs-Consolidado'!C4*1.45*0.76</f>
        <v>0</v>
      </c>
      <c r="D4" s="216">
        <f>'CTs-Consolidado'!D4*1.37*0.8</f>
        <v>0</v>
      </c>
      <c r="E4" s="216">
        <f>'CTs-Consolidado'!E4*1.32*0.84</f>
        <v>0</v>
      </c>
      <c r="F4" s="216">
        <f>'CTs-Consolidado'!F4*1.19*0.88</f>
        <v>0</v>
      </c>
      <c r="G4" s="216">
        <f>'CTs-Consolidado'!G4*1.12*0.92</f>
        <v>0</v>
      </c>
      <c r="H4" s="216">
        <f>'CTs-Consolidado'!H4*1.12*0.96</f>
        <v>0</v>
      </c>
      <c r="I4" s="216">
        <f>'CTs-Consolidado'!I4</f>
        <v>0</v>
      </c>
      <c r="J4" s="216">
        <f>('PAF-Consolidado'!C4*1.45)+('PAF-Consolidado'!J4*0.76)</f>
        <v>0</v>
      </c>
      <c r="K4" s="216">
        <f>('PAF-Consolidado'!D4*1.37)+('PAF-Consolidado'!K4*0.8)</f>
        <v>0</v>
      </c>
      <c r="L4" s="216">
        <f>('PAF-Consolidado'!E4*1.32)+('PAF-Consolidado'!L4*0.84)</f>
        <v>0</v>
      </c>
      <c r="M4" s="216">
        <f>('PAF-Consolidado'!F4*1.19)+('PAF-Consolidado'!M4*0.88)</f>
        <v>0</v>
      </c>
      <c r="N4" s="216">
        <f>('PAF-Consolidado'!G4*1.12)+('PAF-Consolidado'!N4*0.92)</f>
        <v>0</v>
      </c>
      <c r="O4" s="216">
        <f>('PAF-Consolidado'!H4*1.12)+('PAF-Consolidado'!O4*0.96)</f>
        <v>0</v>
      </c>
      <c r="P4" s="216">
        <f>'PAF-Consolidado'!I4+'PAF-Consolidado'!P4</f>
        <v>0</v>
      </c>
      <c r="Q4" s="230" t="s">
        <v>498</v>
      </c>
      <c r="R4" s="230" t="s">
        <v>498</v>
      </c>
      <c r="S4" s="230" t="s">
        <v>497</v>
      </c>
      <c r="T4" s="230" t="s">
        <v>497</v>
      </c>
      <c r="U4" s="230" t="s">
        <v>497</v>
      </c>
      <c r="V4" s="230" t="s">
        <v>497</v>
      </c>
      <c r="W4" s="230" t="s">
        <v>497</v>
      </c>
      <c r="X4" s="11">
        <f>('TRA-Consolidado'!D4*1.45)*(IF(Q4="SIM",1,0))</f>
        <v>0</v>
      </c>
      <c r="Y4" s="11">
        <f>('TRA-Consolidado'!F4*1.37)*(IF(R4="SIM",1,0))</f>
        <v>89.050000000000011</v>
      </c>
      <c r="Z4" s="11">
        <f>('TRA-Consolidado'!H4*1.32)*(IF(S4="SIM",1,0))</f>
        <v>0</v>
      </c>
      <c r="AA4" s="11">
        <f>('TRA-Consolidado'!J4*1.25*1.19)*(IF(T4="SIM",1,0))</f>
        <v>0</v>
      </c>
      <c r="AB4" s="11">
        <f>('TRA-Consolidado'!L4*1.12)*(IF(U4="SIM",1,0))</f>
        <v>0</v>
      </c>
      <c r="AC4" s="11">
        <f>('TRA-Consolidado'!N4*1.12)*(IF(V4="SIM",1,0))</f>
        <v>0</v>
      </c>
      <c r="AD4" s="11">
        <f>('TRA-Consolidado'!P4)*(IF(W4="SIM",1,0))</f>
        <v>0</v>
      </c>
    </row>
    <row r="5" spans="1:31" x14ac:dyDescent="0.3">
      <c r="B5" s="9" t="s">
        <v>4</v>
      </c>
      <c r="C5" s="216">
        <f>'CTs-Consolidado'!C5*1.45*0.76</f>
        <v>0</v>
      </c>
      <c r="D5" s="216">
        <f>'CTs-Consolidado'!D5*1.37*0.8</f>
        <v>0</v>
      </c>
      <c r="E5" s="216">
        <f>'CTs-Consolidado'!E5*1.32*0.84</f>
        <v>29649.312000000002</v>
      </c>
      <c r="F5" s="216">
        <f>'CTs-Consolidado'!F5*1.19*0.88</f>
        <v>0</v>
      </c>
      <c r="G5" s="216">
        <f>'CTs-Consolidado'!G5*1.12*0.92</f>
        <v>0</v>
      </c>
      <c r="H5" s="216">
        <f>'CTs-Consolidado'!H5*1.12*0.96</f>
        <v>0</v>
      </c>
      <c r="I5" s="216">
        <f>'CTs-Consolidado'!I5</f>
        <v>0</v>
      </c>
      <c r="J5" s="216">
        <f>('PAF-Consolidado'!C5*1.45)+('PAF-Consolidado'!J5*0.76)</f>
        <v>0</v>
      </c>
      <c r="K5" s="216">
        <f>('PAF-Consolidado'!D5*1.37)+('PAF-Consolidado'!K5*0.8)</f>
        <v>17412.72</v>
      </c>
      <c r="L5" s="216">
        <f>('PAF-Consolidado'!E5*1.32)+('PAF-Consolidado'!L5*0.84)</f>
        <v>3057.6</v>
      </c>
      <c r="M5" s="216">
        <f>('PAF-Consolidado'!F5*1.19)+('PAF-Consolidado'!M5*0.88)</f>
        <v>601.91999999999996</v>
      </c>
      <c r="N5" s="216">
        <f>('PAF-Consolidado'!G5*1.12)+('PAF-Consolidado'!N5*0.92)</f>
        <v>0</v>
      </c>
      <c r="O5" s="216">
        <f>('PAF-Consolidado'!H5*1.12)+('PAF-Consolidado'!O5*0.96)</f>
        <v>0</v>
      </c>
      <c r="P5" s="216">
        <f>'PAF-Consolidado'!I5+'PAF-Consolidado'!P5</f>
        <v>0</v>
      </c>
      <c r="Q5" s="230" t="s">
        <v>498</v>
      </c>
      <c r="R5" s="230" t="s">
        <v>498</v>
      </c>
      <c r="S5" s="230" t="s">
        <v>498</v>
      </c>
      <c r="T5" s="230" t="s">
        <v>498</v>
      </c>
      <c r="U5" s="230" t="s">
        <v>497</v>
      </c>
      <c r="V5" s="230" t="s">
        <v>497</v>
      </c>
      <c r="W5" s="230" t="s">
        <v>497</v>
      </c>
      <c r="X5" s="11">
        <f>('TRA-Consolidado'!D5*1.45)*(IF(Q5="SIM",1,0))</f>
        <v>1537</v>
      </c>
      <c r="Y5" s="11">
        <f>('TRA-Consolidado'!F5*1.37)*(IF(R5="SIM",1,0))</f>
        <v>1534.4</v>
      </c>
      <c r="Z5" s="11">
        <f>('TRA-Consolidado'!H5*1.32)*(IF(S5="SIM",1,0))</f>
        <v>145.20000000000002</v>
      </c>
      <c r="AA5" s="11">
        <f>('TRA-Consolidado'!J5*1.25*1.19)*(IF(T5="SIM",1,0))</f>
        <v>1933.75</v>
      </c>
      <c r="AB5" s="11">
        <f>('TRA-Consolidado'!L5*1.12)*(IF(U5="SIM",1,0))</f>
        <v>0</v>
      </c>
      <c r="AC5" s="11">
        <f>('TRA-Consolidado'!N5*1.12)*(IF(V5="SIM",1,0))</f>
        <v>0</v>
      </c>
      <c r="AD5" s="11">
        <f>('TRA-Consolidado'!P5)*(IF(W5="SIM",1,0))</f>
        <v>0</v>
      </c>
    </row>
    <row r="6" spans="1:31" x14ac:dyDescent="0.3">
      <c r="B6" s="9" t="s">
        <v>6</v>
      </c>
      <c r="C6" s="216">
        <f>'CTs-Consolidado'!C6*1.45*0.76</f>
        <v>0</v>
      </c>
      <c r="D6" s="216">
        <f>'CTs-Consolidado'!D6*1.37*0.8</f>
        <v>0</v>
      </c>
      <c r="E6" s="216">
        <f>'CTs-Consolidado'!E6*1.32*0.84</f>
        <v>0</v>
      </c>
      <c r="F6" s="216">
        <f>'CTs-Consolidado'!F6*1.19*0.88</f>
        <v>0</v>
      </c>
      <c r="G6" s="216">
        <f>'CTs-Consolidado'!G6*1.12*0.92</f>
        <v>351224.26662400004</v>
      </c>
      <c r="H6" s="216">
        <f>'CTs-Consolidado'!H6*1.12*0.96</f>
        <v>148700.00947200003</v>
      </c>
      <c r="I6" s="216">
        <f>'CTs-Consolidado'!I6</f>
        <v>0</v>
      </c>
      <c r="J6" s="216">
        <f>('PAF-Consolidado'!C6*1.45)+('PAF-Consolidado'!J6*0.76)</f>
        <v>0</v>
      </c>
      <c r="K6" s="216">
        <f>('PAF-Consolidado'!D6*1.37)+('PAF-Consolidado'!K6*0.8)</f>
        <v>4194.4000000000005</v>
      </c>
      <c r="L6" s="216">
        <f>('PAF-Consolidado'!E6*1.32)+('PAF-Consolidado'!L6*0.84)</f>
        <v>3528</v>
      </c>
      <c r="M6" s="216">
        <f>('PAF-Consolidado'!F6*1.19)+('PAF-Consolidado'!M6*0.88)</f>
        <v>969.75549999999998</v>
      </c>
      <c r="N6" s="216">
        <f>('PAF-Consolidado'!G6*1.12)+('PAF-Consolidado'!N6*0.92)</f>
        <v>0</v>
      </c>
      <c r="O6" s="216">
        <f>('PAF-Consolidado'!H6*1.12)+('PAF-Consolidado'!O6*0.96)</f>
        <v>0</v>
      </c>
      <c r="P6" s="216">
        <f>'PAF-Consolidado'!I6+'PAF-Consolidado'!P6</f>
        <v>0</v>
      </c>
      <c r="Q6" s="230" t="s">
        <v>498</v>
      </c>
      <c r="R6" s="230" t="s">
        <v>498</v>
      </c>
      <c r="S6" s="230" t="s">
        <v>498</v>
      </c>
      <c r="T6" s="230" t="s">
        <v>498</v>
      </c>
      <c r="U6" s="230" t="s">
        <v>497</v>
      </c>
      <c r="V6" s="230" t="s">
        <v>498</v>
      </c>
      <c r="W6" s="230" t="s">
        <v>497</v>
      </c>
      <c r="X6" s="11">
        <f>('TRA-Consolidado'!D6*1.45)*(IF(Q6="SIM",1,0))</f>
        <v>6285.75</v>
      </c>
      <c r="Y6" s="11">
        <f>('TRA-Consolidado'!F6*1.37)*(IF(R6="SIM",1,0))</f>
        <v>5980.05</v>
      </c>
      <c r="Z6" s="11">
        <f>('TRA-Consolidado'!H6*1.32)*(IF(S6="SIM",1,0))</f>
        <v>8349</v>
      </c>
      <c r="AA6" s="11">
        <f>('TRA-Consolidado'!J6*1.25*1.19)*(IF(T6="SIM",1,0))</f>
        <v>7147.4375</v>
      </c>
      <c r="AB6" s="11">
        <f>('TRA-Consolidado'!L6*1.12)*(IF(U6="SIM",1,0))</f>
        <v>0</v>
      </c>
      <c r="AC6" s="11">
        <f>('TRA-Consolidado'!N6*1.12)*(IF(V6="SIM",1,0))</f>
        <v>7114.8000000000011</v>
      </c>
      <c r="AD6" s="11">
        <f>('TRA-Consolidado'!P6)*(IF(W6="SIM",1,0))</f>
        <v>0</v>
      </c>
    </row>
    <row r="7" spans="1:31" x14ac:dyDescent="0.3">
      <c r="B7" s="9" t="s">
        <v>7</v>
      </c>
      <c r="C7" s="216">
        <f>'CTs-Consolidado'!C7*1.45*0.76</f>
        <v>0</v>
      </c>
      <c r="D7" s="216">
        <f>'CTs-Consolidado'!D7*1.37*0.8</f>
        <v>0</v>
      </c>
      <c r="E7" s="216">
        <f>'CTs-Consolidado'!E7*1.32*0.84</f>
        <v>0</v>
      </c>
      <c r="F7" s="216">
        <f>'CTs-Consolidado'!F7*1.19*0.88</f>
        <v>0</v>
      </c>
      <c r="G7" s="216">
        <f>'CTs-Consolidado'!G7*1.12*0.92</f>
        <v>0</v>
      </c>
      <c r="H7" s="216">
        <f>'CTs-Consolidado'!H7*1.12*0.96</f>
        <v>0</v>
      </c>
      <c r="I7" s="216">
        <f>'CTs-Consolidado'!I7</f>
        <v>0</v>
      </c>
      <c r="J7" s="216">
        <f>('PAF-Consolidado'!C7*1.45)+('PAF-Consolidado'!J7*0.76)</f>
        <v>0</v>
      </c>
      <c r="K7" s="216">
        <f>('PAF-Consolidado'!D7*1.37)+('PAF-Consolidado'!K7*0.8)</f>
        <v>12770</v>
      </c>
      <c r="L7" s="216">
        <f>('PAF-Consolidado'!E7*1.32)+('PAF-Consolidado'!L7*0.84)</f>
        <v>27888</v>
      </c>
      <c r="M7" s="216">
        <f>('PAF-Consolidado'!F7*1.19)+('PAF-Consolidado'!M7*0.88)</f>
        <v>905.52</v>
      </c>
      <c r="N7" s="216">
        <f>('PAF-Consolidado'!G7*1.12)+('PAF-Consolidado'!N7*0.92)</f>
        <v>9722.5520000000015</v>
      </c>
      <c r="O7" s="216">
        <f>('PAF-Consolidado'!H7*1.12)+('PAF-Consolidado'!O7*0.96)</f>
        <v>0</v>
      </c>
      <c r="P7" s="216">
        <f>'PAF-Consolidado'!I7+'PAF-Consolidado'!P7</f>
        <v>0</v>
      </c>
      <c r="Q7" s="230" t="s">
        <v>498</v>
      </c>
      <c r="R7" s="230" t="s">
        <v>498</v>
      </c>
      <c r="S7" s="230" t="s">
        <v>498</v>
      </c>
      <c r="T7" s="230" t="s">
        <v>497</v>
      </c>
      <c r="U7" s="230" t="s">
        <v>497</v>
      </c>
      <c r="V7" s="230" t="s">
        <v>497</v>
      </c>
      <c r="W7" s="230" t="s">
        <v>497</v>
      </c>
      <c r="X7" s="11">
        <f>('TRA-Consolidado'!D7*1.45)*(IF(Q7="SIM",1,0))</f>
        <v>3733.75</v>
      </c>
      <c r="Y7" s="11">
        <f>('TRA-Consolidado'!F7*1.37)*(IF(R7="SIM",1,0))</f>
        <v>3774.3500000000004</v>
      </c>
      <c r="Z7" s="11">
        <f>('TRA-Consolidado'!H7*1.32)*(IF(S7="SIM",1,0))</f>
        <v>5247</v>
      </c>
      <c r="AA7" s="11">
        <f>('TRA-Consolidado'!J7*1.25*1.19)*(IF(T7="SIM",1,0))</f>
        <v>0</v>
      </c>
      <c r="AB7" s="11">
        <f>('TRA-Consolidado'!L7*1.12)*(IF(U7="SIM",1,0))</f>
        <v>0</v>
      </c>
      <c r="AC7" s="11">
        <f>('TRA-Consolidado'!N7*1.12)*(IF(V7="SIM",1,0))</f>
        <v>0</v>
      </c>
      <c r="AD7" s="11">
        <f>('TRA-Consolidado'!P7)*(IF(W7="SIM",1,0))</f>
        <v>0</v>
      </c>
    </row>
    <row r="8" spans="1:31" x14ac:dyDescent="0.3">
      <c r="B8" s="9" t="s">
        <v>8</v>
      </c>
      <c r="C8" s="216">
        <f>'CTs-Consolidado'!C8*1.45*0.76</f>
        <v>0</v>
      </c>
      <c r="D8" s="216">
        <f>'CTs-Consolidado'!D8*1.37*0.8</f>
        <v>0</v>
      </c>
      <c r="E8" s="216">
        <f>'CTs-Consolidado'!E8*1.32*0.84</f>
        <v>0</v>
      </c>
      <c r="F8" s="216">
        <f>'CTs-Consolidado'!F8*1.19*0.88</f>
        <v>0</v>
      </c>
      <c r="G8" s="216">
        <f>'CTs-Consolidado'!G8*1.12*0.92</f>
        <v>0</v>
      </c>
      <c r="H8" s="216">
        <f>'CTs-Consolidado'!H8*1.12*0.96</f>
        <v>0</v>
      </c>
      <c r="I8" s="216">
        <f>'CTs-Consolidado'!I8</f>
        <v>0</v>
      </c>
      <c r="J8" s="216">
        <f>('PAF-Consolidado'!C8*1.45)+('PAF-Consolidado'!J8*0.76)</f>
        <v>0</v>
      </c>
      <c r="K8" s="216">
        <f>('PAF-Consolidado'!D8*1.37)+('PAF-Consolidado'!K8*0.8)</f>
        <v>4110</v>
      </c>
      <c r="L8" s="216">
        <f>('PAF-Consolidado'!E8*1.32)+('PAF-Consolidado'!L8*0.84)</f>
        <v>29328</v>
      </c>
      <c r="M8" s="216">
        <f>('PAF-Consolidado'!F8*1.19)+('PAF-Consolidado'!M8*0.88)</f>
        <v>0</v>
      </c>
      <c r="N8" s="216">
        <f>('PAF-Consolidado'!G8*1.12)+('PAF-Consolidado'!N8*0.92)</f>
        <v>0</v>
      </c>
      <c r="O8" s="216">
        <f>('PAF-Consolidado'!H8*1.12)+('PAF-Consolidado'!O8*0.96)</f>
        <v>0</v>
      </c>
      <c r="P8" s="216">
        <f>'PAF-Consolidado'!I8+'PAF-Consolidado'!P8</f>
        <v>0</v>
      </c>
      <c r="Q8" s="230" t="s">
        <v>498</v>
      </c>
      <c r="R8" s="230" t="s">
        <v>498</v>
      </c>
      <c r="S8" s="230" t="s">
        <v>498</v>
      </c>
      <c r="T8" s="230" t="s">
        <v>497</v>
      </c>
      <c r="U8" s="230" t="s">
        <v>497</v>
      </c>
      <c r="V8" s="230" t="s">
        <v>497</v>
      </c>
      <c r="W8" s="230" t="s">
        <v>497</v>
      </c>
      <c r="X8" s="11">
        <f>('TRA-Consolidado'!D8*1.45)*(IF(Q8="SIM",1,0))</f>
        <v>2842</v>
      </c>
      <c r="Y8" s="11">
        <f>('TRA-Consolidado'!F8*1.37)*(IF(R8="SIM",1,0))</f>
        <v>3507.2000000000003</v>
      </c>
      <c r="Z8" s="11">
        <f>('TRA-Consolidado'!H8*1.32)*(IF(S8="SIM",1,0))</f>
        <v>3438.6000000000004</v>
      </c>
      <c r="AA8" s="11">
        <f>('TRA-Consolidado'!J8*1.25*1.19)*(IF(T8="SIM",1,0))</f>
        <v>0</v>
      </c>
      <c r="AB8" s="11">
        <f>('TRA-Consolidado'!L8*1.12)*(IF(U8="SIM",1,0))</f>
        <v>0</v>
      </c>
      <c r="AC8" s="11">
        <f>('TRA-Consolidado'!N8*1.12)*(IF(V8="SIM",1,0))</f>
        <v>0</v>
      </c>
      <c r="AD8" s="11">
        <f>('TRA-Consolidado'!P8)*(IF(W8="SIM",1,0))</f>
        <v>0</v>
      </c>
    </row>
    <row r="9" spans="1:31" x14ac:dyDescent="0.3">
      <c r="B9" s="9" t="s">
        <v>9</v>
      </c>
      <c r="C9" s="216">
        <f>'CTs-Consolidado'!C9*1.45*0.76</f>
        <v>0</v>
      </c>
      <c r="D9" s="216">
        <f>'CTs-Consolidado'!D9*1.37*0.8</f>
        <v>0</v>
      </c>
      <c r="E9" s="216">
        <f>'CTs-Consolidado'!E9*1.32*0.84</f>
        <v>0</v>
      </c>
      <c r="F9" s="216">
        <f>'CTs-Consolidado'!F9*1.19*0.88</f>
        <v>0</v>
      </c>
      <c r="G9" s="216">
        <f>'CTs-Consolidado'!G9*1.12*0.92</f>
        <v>0</v>
      </c>
      <c r="H9" s="216">
        <f>'CTs-Consolidado'!H9*1.12*0.96</f>
        <v>0</v>
      </c>
      <c r="I9" s="216">
        <f>'CTs-Consolidado'!I9</f>
        <v>0</v>
      </c>
      <c r="J9" s="216">
        <f>('PAF-Consolidado'!C9*1.45)+('PAF-Consolidado'!J9*0.76)</f>
        <v>0</v>
      </c>
      <c r="K9" s="216">
        <f>('PAF-Consolidado'!D9*1.37)+('PAF-Consolidado'!K9*0.8)</f>
        <v>0</v>
      </c>
      <c r="L9" s="216">
        <f>('PAF-Consolidado'!E9*1.32)+('PAF-Consolidado'!L9*0.84)</f>
        <v>0</v>
      </c>
      <c r="M9" s="216">
        <f>('PAF-Consolidado'!F9*1.19)+('PAF-Consolidado'!M9*0.88)</f>
        <v>1963.5</v>
      </c>
      <c r="N9" s="216">
        <f>('PAF-Consolidado'!G9*1.12)+('PAF-Consolidado'!N9*0.92)</f>
        <v>18158.987600000004</v>
      </c>
      <c r="O9" s="216">
        <f>('PAF-Consolidado'!H9*1.12)+('PAF-Consolidado'!O9*0.96)</f>
        <v>0</v>
      </c>
      <c r="P9" s="216">
        <f>'PAF-Consolidado'!I9+'PAF-Consolidado'!P9</f>
        <v>0</v>
      </c>
      <c r="Q9" s="230" t="s">
        <v>498</v>
      </c>
      <c r="R9" s="230" t="s">
        <v>498</v>
      </c>
      <c r="S9" s="230" t="s">
        <v>497</v>
      </c>
      <c r="T9" s="230" t="s">
        <v>498</v>
      </c>
      <c r="U9" s="230" t="s">
        <v>497</v>
      </c>
      <c r="V9" s="230" t="s">
        <v>498</v>
      </c>
      <c r="W9" s="230" t="s">
        <v>498</v>
      </c>
      <c r="X9" s="11">
        <f>('TRA-Consolidado'!D9*1.45)*(IF(Q9="SIM",1,0))</f>
        <v>4582</v>
      </c>
      <c r="Y9" s="11">
        <f>('TRA-Consolidado'!F9*1.37)*(IF(R9="SIM",1,0))</f>
        <v>5658.1</v>
      </c>
      <c r="Z9" s="11">
        <f>('TRA-Consolidado'!H9*1.32)*(IF(S9="SIM",1,0))</f>
        <v>0</v>
      </c>
      <c r="AA9" s="11">
        <f>('TRA-Consolidado'!J9*1.25*1.19)*(IF(T9="SIM",1,0))</f>
        <v>7891.1875</v>
      </c>
      <c r="AB9" s="11">
        <f>('TRA-Consolidado'!L9*1.12)*(IF(U9="SIM",1,0))</f>
        <v>0</v>
      </c>
      <c r="AC9" s="11">
        <f>('TRA-Consolidado'!N9*1.12)*(IF(V9="SIM",1,0))</f>
        <v>8617.84</v>
      </c>
      <c r="AD9" s="11">
        <f>('TRA-Consolidado'!P9)*(IF(W9="SIM",1,0))</f>
        <v>8306</v>
      </c>
    </row>
    <row r="10" spans="1:31" x14ac:dyDescent="0.3">
      <c r="B10" s="9" t="s">
        <v>10</v>
      </c>
      <c r="C10" s="216">
        <f>'CTs-Consolidado'!C10*1.45*0.76</f>
        <v>0</v>
      </c>
      <c r="D10" s="216">
        <f>'CTs-Consolidado'!D10*1.37*0.8</f>
        <v>0</v>
      </c>
      <c r="E10" s="216">
        <f>'CTs-Consolidado'!E10*1.32*0.84</f>
        <v>0</v>
      </c>
      <c r="F10" s="216">
        <f>'CTs-Consolidado'!F10*1.19*0.88</f>
        <v>0</v>
      </c>
      <c r="G10" s="216">
        <f>'CTs-Consolidado'!G10*1.12*0.92</f>
        <v>0</v>
      </c>
      <c r="H10" s="216">
        <f>'CTs-Consolidado'!H10*1.12*0.96</f>
        <v>70569.225216000006</v>
      </c>
      <c r="I10" s="216">
        <f>'CTs-Consolidado'!I10</f>
        <v>0</v>
      </c>
      <c r="J10" s="216">
        <f>('PAF-Consolidado'!C10*1.45)+('PAF-Consolidado'!J10*0.76)</f>
        <v>0</v>
      </c>
      <c r="K10" s="216">
        <f>('PAF-Consolidado'!D10*1.37)+('PAF-Consolidado'!K10*0.8)</f>
        <v>0</v>
      </c>
      <c r="L10" s="216">
        <f>('PAF-Consolidado'!E10*1.32)+('PAF-Consolidado'!L10*0.84)</f>
        <v>18429.599999999999</v>
      </c>
      <c r="M10" s="216">
        <f>('PAF-Consolidado'!F10*1.19)+('PAF-Consolidado'!M10*0.88)</f>
        <v>23867.8</v>
      </c>
      <c r="N10" s="216">
        <f>('PAF-Consolidado'!G10*1.12)+('PAF-Consolidado'!N10*0.92)</f>
        <v>813.62400000000002</v>
      </c>
      <c r="O10" s="216">
        <f>('PAF-Consolidado'!H10*1.12)+('PAF-Consolidado'!O10*0.96)</f>
        <v>0</v>
      </c>
      <c r="P10" s="216">
        <f>'PAF-Consolidado'!I10+'PAF-Consolidado'!P10</f>
        <v>0</v>
      </c>
      <c r="Q10" s="230" t="s">
        <v>498</v>
      </c>
      <c r="R10" s="230" t="s">
        <v>498</v>
      </c>
      <c r="S10" s="230" t="s">
        <v>498</v>
      </c>
      <c r="T10" s="230" t="s">
        <v>497</v>
      </c>
      <c r="U10" s="230" t="s">
        <v>497</v>
      </c>
      <c r="V10" s="230" t="s">
        <v>497</v>
      </c>
      <c r="W10" s="230" t="s">
        <v>497</v>
      </c>
      <c r="X10" s="11">
        <f>('TRA-Consolidado'!D10*1.45)*(IF(Q10="SIM",1,0))</f>
        <v>5089.5</v>
      </c>
      <c r="Y10" s="11">
        <f>('TRA-Consolidado'!F10*1.37)*(IF(R10="SIM",1,0))</f>
        <v>5658.1</v>
      </c>
      <c r="Z10" s="11">
        <f>('TRA-Consolidado'!H10*1.32)*(IF(S10="SIM",1,0))</f>
        <v>7492.9800000000005</v>
      </c>
      <c r="AA10" s="11">
        <f>('TRA-Consolidado'!J10*1.25*1.19)*(IF(T10="SIM",1,0))</f>
        <v>0</v>
      </c>
      <c r="AB10" s="11">
        <f>('TRA-Consolidado'!L10*1.12)*(IF(U10="SIM",1,0))</f>
        <v>0</v>
      </c>
      <c r="AC10" s="11">
        <f>('TRA-Consolidado'!N10*1.12)*(IF(V10="SIM",1,0))</f>
        <v>0</v>
      </c>
      <c r="AD10" s="11">
        <f>('TRA-Consolidado'!P10)*(IF(W10="SIM",1,0))</f>
        <v>0</v>
      </c>
    </row>
    <row r="11" spans="1:31" x14ac:dyDescent="0.3">
      <c r="B11" s="9" t="s">
        <v>11</v>
      </c>
      <c r="C11" s="216">
        <f>'CTs-Consolidado'!C11*1.45*0.76</f>
        <v>0</v>
      </c>
      <c r="D11" s="216">
        <f>'CTs-Consolidado'!D11*1.37*0.8</f>
        <v>0</v>
      </c>
      <c r="E11" s="216">
        <f>'CTs-Consolidado'!E11*1.32*0.84</f>
        <v>0</v>
      </c>
      <c r="F11" s="216">
        <f>'CTs-Consolidado'!F11*1.19*0.88</f>
        <v>0</v>
      </c>
      <c r="G11" s="216">
        <f>'CTs-Consolidado'!G11*1.12*0.92</f>
        <v>0</v>
      </c>
      <c r="H11" s="216">
        <f>'CTs-Consolidado'!H11*1.12*0.96</f>
        <v>0</v>
      </c>
      <c r="I11" s="216">
        <f>'CTs-Consolidado'!I11</f>
        <v>0</v>
      </c>
      <c r="J11" s="216">
        <f>('PAF-Consolidado'!C11*1.45)+('PAF-Consolidado'!J11*0.76)</f>
        <v>0</v>
      </c>
      <c r="K11" s="216">
        <f>('PAF-Consolidado'!D11*1.37)+('PAF-Consolidado'!K11*0.8)</f>
        <v>0</v>
      </c>
      <c r="L11" s="216">
        <f>('PAF-Consolidado'!E11*1.32)+('PAF-Consolidado'!L11*0.84)</f>
        <v>0</v>
      </c>
      <c r="M11" s="216">
        <f>('PAF-Consolidado'!F11*1.19)+('PAF-Consolidado'!M11*0.88)</f>
        <v>0</v>
      </c>
      <c r="N11" s="216">
        <f>('PAF-Consolidado'!G11*1.12)+('PAF-Consolidado'!N11*0.92)</f>
        <v>238.62400000000002</v>
      </c>
      <c r="O11" s="216">
        <f>('PAF-Consolidado'!H11*1.12)+('PAF-Consolidado'!O11*0.96)</f>
        <v>0</v>
      </c>
      <c r="P11" s="216">
        <f>'PAF-Consolidado'!I11+'PAF-Consolidado'!P11</f>
        <v>0</v>
      </c>
      <c r="Q11" s="230" t="s">
        <v>498</v>
      </c>
      <c r="R11" s="230" t="s">
        <v>498</v>
      </c>
      <c r="S11" s="230" t="s">
        <v>498</v>
      </c>
      <c r="T11" s="230" t="s">
        <v>498</v>
      </c>
      <c r="U11" s="230" t="s">
        <v>498</v>
      </c>
      <c r="V11" s="230" t="s">
        <v>498</v>
      </c>
      <c r="W11" s="230" t="s">
        <v>497</v>
      </c>
      <c r="X11" s="11">
        <f>('TRA-Consolidado'!D11*1.45)*(IF(Q11="SIM",1,0))</f>
        <v>4096.25</v>
      </c>
      <c r="Y11" s="11">
        <f>('TRA-Consolidado'!F11*1.37)*(IF(R11="SIM",1,0))</f>
        <v>4370.3</v>
      </c>
      <c r="Z11" s="11">
        <f>('TRA-Consolidado'!H11*1.32)*(IF(S11="SIM",1,0))</f>
        <v>123.42</v>
      </c>
      <c r="AA11" s="11">
        <f>('TRA-Consolidado'!J11*1.25*1.19)*(IF(T11="SIM",1,0))</f>
        <v>223.125</v>
      </c>
      <c r="AB11" s="11">
        <f>('TRA-Consolidado'!L11*1.12)*(IF(U11="SIM",1,0))</f>
        <v>5532.8</v>
      </c>
      <c r="AC11" s="11">
        <f>('TRA-Consolidado'!N11*1.12)*(IF(V11="SIM",1,0))</f>
        <v>6449.52</v>
      </c>
      <c r="AD11" s="11">
        <f>('TRA-Consolidado'!P11)*(IF(W11="SIM",1,0))</f>
        <v>0</v>
      </c>
    </row>
    <row r="12" spans="1:31" x14ac:dyDescent="0.3">
      <c r="B12" s="9" t="s">
        <v>12</v>
      </c>
      <c r="C12" s="216">
        <f>'CTs-Consolidado'!C12*1.45*0.76</f>
        <v>0</v>
      </c>
      <c r="D12" s="216">
        <f>'CTs-Consolidado'!D12*1.37*0.8</f>
        <v>0</v>
      </c>
      <c r="E12" s="216">
        <f>'CTs-Consolidado'!E12*1.32*0.84</f>
        <v>0</v>
      </c>
      <c r="F12" s="216">
        <f>'CTs-Consolidado'!F12*1.19*0.88</f>
        <v>0</v>
      </c>
      <c r="G12" s="216">
        <f>'CTs-Consolidado'!G12*1.12*0.92</f>
        <v>0</v>
      </c>
      <c r="H12" s="216">
        <f>'CTs-Consolidado'!H12*1.12*0.96</f>
        <v>0</v>
      </c>
      <c r="I12" s="216">
        <f>'CTs-Consolidado'!I12</f>
        <v>0</v>
      </c>
      <c r="J12" s="216">
        <f>('PAF-Consolidado'!C12*1.45)+('PAF-Consolidado'!J12*0.76)</f>
        <v>0</v>
      </c>
      <c r="K12" s="216">
        <f>('PAF-Consolidado'!D12*1.37)+('PAF-Consolidado'!K12*0.8)</f>
        <v>0</v>
      </c>
      <c r="L12" s="216">
        <f>('PAF-Consolidado'!E12*1.32)+('PAF-Consolidado'!L12*0.84)</f>
        <v>0</v>
      </c>
      <c r="M12" s="216">
        <f>('PAF-Consolidado'!F12*1.19)+('PAF-Consolidado'!M12*0.88)</f>
        <v>0</v>
      </c>
      <c r="N12" s="216">
        <f>('PAF-Consolidado'!G12*1.12)+('PAF-Consolidado'!N12*0.92)</f>
        <v>0</v>
      </c>
      <c r="O12" s="216">
        <f>('PAF-Consolidado'!H12*1.12)+('PAF-Consolidado'!O12*0.96)</f>
        <v>0</v>
      </c>
      <c r="P12" s="216">
        <f>'PAF-Consolidado'!I12+'PAF-Consolidado'!P12</f>
        <v>0</v>
      </c>
      <c r="Q12" s="230" t="s">
        <v>498</v>
      </c>
      <c r="R12" s="230" t="s">
        <v>498</v>
      </c>
      <c r="S12" s="230" t="s">
        <v>498</v>
      </c>
      <c r="T12" s="230" t="s">
        <v>497</v>
      </c>
      <c r="U12" s="230" t="s">
        <v>497</v>
      </c>
      <c r="V12" s="230" t="s">
        <v>498</v>
      </c>
      <c r="W12" s="230" t="s">
        <v>497</v>
      </c>
      <c r="X12" s="11">
        <f>('TRA-Consolidado'!D12*1.45)*(IF(Q12="SIM",1,0))</f>
        <v>3986.0499999999997</v>
      </c>
      <c r="Y12" s="11">
        <f>('TRA-Consolidado'!F12*1.37)*(IF(R12="SIM",1,0))</f>
        <v>3048.2500000000005</v>
      </c>
      <c r="Z12" s="11">
        <f>('TRA-Consolidado'!H12*1.32)*(IF(S12="SIM",1,0))</f>
        <v>2530.44</v>
      </c>
      <c r="AA12" s="11">
        <f>('TRA-Consolidado'!J12*1.25*1.19)*(IF(T12="SIM",1,0))</f>
        <v>0</v>
      </c>
      <c r="AB12" s="11">
        <f>('TRA-Consolidado'!L12*1.12)*(IF(U12="SIM",1,0))</f>
        <v>0</v>
      </c>
      <c r="AC12" s="11">
        <f>('TRA-Consolidado'!N12*1.12)*(IF(V12="SIM",1,0))</f>
        <v>3585.1200000000003</v>
      </c>
      <c r="AD12" s="11">
        <f>('TRA-Consolidado'!P12)*(IF(W12="SIM",1,0))</f>
        <v>0</v>
      </c>
    </row>
    <row r="13" spans="1:31" x14ac:dyDescent="0.3">
      <c r="B13" s="9" t="s">
        <v>13</v>
      </c>
      <c r="C13" s="216">
        <f>'CTs-Consolidado'!C13*1.45*0.76</f>
        <v>0</v>
      </c>
      <c r="D13" s="216">
        <f>'CTs-Consolidado'!D13*1.37*0.8</f>
        <v>0</v>
      </c>
      <c r="E13" s="216">
        <f>'CTs-Consolidado'!E13*1.32*0.84</f>
        <v>0</v>
      </c>
      <c r="F13" s="216">
        <f>'CTs-Consolidado'!F13*1.19*0.88</f>
        <v>0</v>
      </c>
      <c r="G13" s="216">
        <f>'CTs-Consolidado'!G13*1.12*0.92</f>
        <v>0</v>
      </c>
      <c r="H13" s="216">
        <f>'CTs-Consolidado'!H13*1.12*0.96</f>
        <v>0</v>
      </c>
      <c r="I13" s="216">
        <f>'CTs-Consolidado'!I13</f>
        <v>0</v>
      </c>
      <c r="J13" s="216">
        <f>('PAF-Consolidado'!C13*1.45)+('PAF-Consolidado'!J13*0.76)</f>
        <v>0</v>
      </c>
      <c r="K13" s="216">
        <f>('PAF-Consolidado'!D13*1.37)+('PAF-Consolidado'!K13*0.8)</f>
        <v>0</v>
      </c>
      <c r="L13" s="216">
        <f>('PAF-Consolidado'!E13*1.32)+('PAF-Consolidado'!L13*0.84)</f>
        <v>2288.16</v>
      </c>
      <c r="M13" s="216">
        <f>('PAF-Consolidado'!F13*1.19)+('PAF-Consolidado'!M13*0.88)</f>
        <v>0</v>
      </c>
      <c r="N13" s="216">
        <f>('PAF-Consolidado'!G13*1.12)+('PAF-Consolidado'!N13*0.92)</f>
        <v>0</v>
      </c>
      <c r="O13" s="216">
        <f>('PAF-Consolidado'!H13*1.12)+('PAF-Consolidado'!O13*0.96)</f>
        <v>0</v>
      </c>
      <c r="P13" s="216">
        <f>'PAF-Consolidado'!I13+'PAF-Consolidado'!P13</f>
        <v>0</v>
      </c>
      <c r="Q13" s="230" t="s">
        <v>498</v>
      </c>
      <c r="R13" s="230" t="s">
        <v>498</v>
      </c>
      <c r="S13" s="230" t="s">
        <v>498</v>
      </c>
      <c r="T13" s="230" t="s">
        <v>497</v>
      </c>
      <c r="U13" s="230" t="s">
        <v>497</v>
      </c>
      <c r="V13" s="230" t="s">
        <v>498</v>
      </c>
      <c r="W13" s="230" t="s">
        <v>498</v>
      </c>
      <c r="X13" s="11">
        <f>('TRA-Consolidado'!D13*1.45)*(IF(Q13="SIM",1,0))</f>
        <v>79.75</v>
      </c>
      <c r="Y13" s="11">
        <f>('TRA-Consolidado'!F13*1.37)*(IF(R13="SIM",1,0))</f>
        <v>178.10000000000002</v>
      </c>
      <c r="Z13" s="11">
        <f>('TRA-Consolidado'!H13*1.32)*(IF(S13="SIM",1,0))</f>
        <v>1254</v>
      </c>
      <c r="AA13" s="11">
        <f>('TRA-Consolidado'!J13*1.25*1.19)*(IF(T13="SIM",1,0))</f>
        <v>0</v>
      </c>
      <c r="AB13" s="11">
        <f>('TRA-Consolidado'!L13*1.12)*(IF(U13="SIM",1,0))</f>
        <v>0</v>
      </c>
      <c r="AC13" s="11">
        <f>('TRA-Consolidado'!N13*1.12)*(IF(V13="SIM",1,0))</f>
        <v>3431.1200000000003</v>
      </c>
      <c r="AD13" s="11">
        <f>('TRA-Consolidado'!P13)*(IF(W13="SIM",1,0))</f>
        <v>5242</v>
      </c>
    </row>
    <row r="14" spans="1:31" x14ac:dyDescent="0.3">
      <c r="B14" s="9" t="s">
        <v>14</v>
      </c>
      <c r="C14" s="216">
        <f>'CTs-Consolidado'!C14*1.45*0.76</f>
        <v>0</v>
      </c>
      <c r="D14" s="216">
        <f>'CTs-Consolidado'!D14*1.37*0.8</f>
        <v>0</v>
      </c>
      <c r="E14" s="216">
        <f>'CTs-Consolidado'!E14*1.32*0.84</f>
        <v>0</v>
      </c>
      <c r="F14" s="216">
        <f>'CTs-Consolidado'!F14*1.19*0.88</f>
        <v>0</v>
      </c>
      <c r="G14" s="216">
        <f>'CTs-Consolidado'!G14*1.12*0.92</f>
        <v>28768.768000000004</v>
      </c>
      <c r="H14" s="216">
        <f>'CTs-Consolidado'!H14*1.12*0.96</f>
        <v>0</v>
      </c>
      <c r="I14" s="216">
        <f>'CTs-Consolidado'!I14</f>
        <v>30634.590000000004</v>
      </c>
      <c r="J14" s="216">
        <f>('PAF-Consolidado'!C14*1.45)+('PAF-Consolidado'!J14*0.76)</f>
        <v>0</v>
      </c>
      <c r="K14" s="216">
        <f>('PAF-Consolidado'!D14*1.37)+('PAF-Consolidado'!K14*0.8)</f>
        <v>0</v>
      </c>
      <c r="L14" s="216">
        <f>('PAF-Consolidado'!E14*1.32)+('PAF-Consolidado'!L14*0.84)</f>
        <v>176.4</v>
      </c>
      <c r="M14" s="216">
        <f>('PAF-Consolidado'!F14*1.19)+('PAF-Consolidado'!M14*0.88)</f>
        <v>29052.839199999999</v>
      </c>
      <c r="N14" s="216">
        <f>('PAF-Consolidado'!G14*1.12)+('PAF-Consolidado'!N14*0.92)</f>
        <v>0</v>
      </c>
      <c r="O14" s="216">
        <f>('PAF-Consolidado'!H14*1.12)+('PAF-Consolidado'!O14*0.96)</f>
        <v>0</v>
      </c>
      <c r="P14" s="216">
        <f>'PAF-Consolidado'!I14+'PAF-Consolidado'!P14</f>
        <v>0</v>
      </c>
      <c r="Q14" s="230" t="s">
        <v>498</v>
      </c>
      <c r="R14" s="230" t="s">
        <v>498</v>
      </c>
      <c r="S14" s="230" t="s">
        <v>497</v>
      </c>
      <c r="T14" s="230" t="s">
        <v>497</v>
      </c>
      <c r="U14" s="230" t="s">
        <v>498</v>
      </c>
      <c r="V14" s="230" t="s">
        <v>498</v>
      </c>
      <c r="W14" s="230" t="s">
        <v>498</v>
      </c>
      <c r="X14" s="11">
        <f>('TRA-Consolidado'!D14*1.45)*(IF(Q14="SIM",1,0))</f>
        <v>3922.25</v>
      </c>
      <c r="Y14" s="11">
        <f>('TRA-Consolidado'!F14*1.37)*(IF(R14="SIM",1,0))</f>
        <v>5185.4500000000007</v>
      </c>
      <c r="Z14" s="11">
        <f>('TRA-Consolidado'!H14*1.32)*(IF(S14="SIM",1,0))</f>
        <v>0</v>
      </c>
      <c r="AA14" s="11">
        <f>('TRA-Consolidado'!J14*1.25*1.19)*(IF(T14="SIM",1,0))</f>
        <v>0</v>
      </c>
      <c r="AB14" s="11">
        <f>('TRA-Consolidado'!L14*1.12)*(IF(U14="SIM",1,0))</f>
        <v>2122.4</v>
      </c>
      <c r="AC14" s="11">
        <f>('TRA-Consolidado'!N14*1.12)*(IF(V14="SIM",1,0))</f>
        <v>3215.5200000000004</v>
      </c>
      <c r="AD14" s="11">
        <f>('TRA-Consolidado'!P14)*(IF(W14="SIM",1,0))</f>
        <v>5090.2</v>
      </c>
    </row>
    <row r="15" spans="1:31" x14ac:dyDescent="0.3">
      <c r="B15" s="9" t="s">
        <v>15</v>
      </c>
      <c r="C15" s="216">
        <f>'CTs-Consolidado'!C15*1.45*0.76</f>
        <v>0</v>
      </c>
      <c r="D15" s="216">
        <f>'CTs-Consolidado'!D15*1.37*0.8</f>
        <v>0</v>
      </c>
      <c r="E15" s="216">
        <f>'CTs-Consolidado'!E15*1.32*0.84</f>
        <v>0</v>
      </c>
      <c r="F15" s="216">
        <f>'CTs-Consolidado'!F15*1.19*0.88</f>
        <v>0</v>
      </c>
      <c r="G15" s="216">
        <f>'CTs-Consolidado'!G15*1.12*0.92</f>
        <v>0</v>
      </c>
      <c r="H15" s="216">
        <f>'CTs-Consolidado'!H15*1.12*0.96</f>
        <v>0</v>
      </c>
      <c r="I15" s="216">
        <f>'CTs-Consolidado'!I15</f>
        <v>0</v>
      </c>
      <c r="J15" s="216">
        <f>('PAF-Consolidado'!C15*1.45)+('PAF-Consolidado'!J15*0.76)</f>
        <v>0</v>
      </c>
      <c r="K15" s="216">
        <f>('PAF-Consolidado'!D15*1.37)+('PAF-Consolidado'!K15*0.8)</f>
        <v>0</v>
      </c>
      <c r="L15" s="216">
        <f>('PAF-Consolidado'!E15*1.32)+('PAF-Consolidado'!L15*0.84)</f>
        <v>1848</v>
      </c>
      <c r="M15" s="216">
        <f>('PAF-Consolidado'!F15*1.19)+('PAF-Consolidado'!M15*0.88)</f>
        <v>0</v>
      </c>
      <c r="N15" s="216">
        <f>('PAF-Consolidado'!G15*1.12)+('PAF-Consolidado'!N15*0.92)</f>
        <v>0</v>
      </c>
      <c r="O15" s="216">
        <f>('PAF-Consolidado'!H15*1.12)+('PAF-Consolidado'!O15*0.96)</f>
        <v>0</v>
      </c>
      <c r="P15" s="216">
        <f>'PAF-Consolidado'!I15+'PAF-Consolidado'!P15</f>
        <v>0</v>
      </c>
      <c r="Q15" s="230" t="s">
        <v>498</v>
      </c>
      <c r="R15" s="230" t="s">
        <v>498</v>
      </c>
      <c r="S15" s="230" t="s">
        <v>498</v>
      </c>
      <c r="T15" s="230" t="s">
        <v>498</v>
      </c>
      <c r="U15" s="230" t="s">
        <v>497</v>
      </c>
      <c r="V15" s="230" t="s">
        <v>498</v>
      </c>
      <c r="W15" s="230" t="s">
        <v>498</v>
      </c>
      <c r="X15" s="11">
        <f>('TRA-Consolidado'!D15*1.45)*(IF(Q15="SIM",1,0))</f>
        <v>3907.75</v>
      </c>
      <c r="Y15" s="11">
        <f>('TRA-Consolidado'!F15*1.37)*(IF(R15="SIM",1,0))</f>
        <v>6322.55</v>
      </c>
      <c r="Z15" s="11">
        <f>('TRA-Consolidado'!H15*1.32)*(IF(S15="SIM",1,0))</f>
        <v>5184.3</v>
      </c>
      <c r="AA15" s="11">
        <f>('TRA-Consolidado'!J15*1.25*1.19)*(IF(T15="SIM",1,0))</f>
        <v>4447.625</v>
      </c>
      <c r="AB15" s="11">
        <f>('TRA-Consolidado'!L15*1.12)*(IF(U15="SIM",1,0))</f>
        <v>0</v>
      </c>
      <c r="AC15" s="11">
        <f>('TRA-Consolidado'!N15*1.12)*(IF(V15="SIM",1,0))</f>
        <v>4620</v>
      </c>
      <c r="AD15" s="11">
        <f>('TRA-Consolidado'!P15)*(IF(W15="SIM",1,0))</f>
        <v>3738</v>
      </c>
    </row>
    <row r="16" spans="1:31" x14ac:dyDescent="0.3">
      <c r="B16" s="9" t="s">
        <v>16</v>
      </c>
      <c r="C16" s="216">
        <f>'CTs-Consolidado'!C16*1.45*0.76</f>
        <v>0</v>
      </c>
      <c r="D16" s="216">
        <f>'CTs-Consolidado'!D16*1.37*0.8</f>
        <v>0</v>
      </c>
      <c r="E16" s="216">
        <f>'CTs-Consolidado'!E16*1.32*0.84</f>
        <v>0</v>
      </c>
      <c r="F16" s="216">
        <f>'CTs-Consolidado'!F16*1.19*0.88</f>
        <v>0</v>
      </c>
      <c r="G16" s="216">
        <f>'CTs-Consolidado'!G16*1.12*0.92</f>
        <v>0</v>
      </c>
      <c r="H16" s="216">
        <f>'CTs-Consolidado'!H16*1.12*0.96</f>
        <v>0</v>
      </c>
      <c r="I16" s="216">
        <f>'CTs-Consolidado'!I16</f>
        <v>0</v>
      </c>
      <c r="J16" s="216">
        <f>('PAF-Consolidado'!C16*1.45)+('PAF-Consolidado'!J16*0.76)</f>
        <v>0</v>
      </c>
      <c r="K16" s="216">
        <f>('PAF-Consolidado'!D16*1.37)+('PAF-Consolidado'!K16*0.8)</f>
        <v>0</v>
      </c>
      <c r="L16" s="216">
        <f>('PAF-Consolidado'!E16*1.32)+('PAF-Consolidado'!L16*0.84)</f>
        <v>0</v>
      </c>
      <c r="M16" s="216">
        <f>('PAF-Consolidado'!F16*1.19)+('PAF-Consolidado'!M16*0.88)</f>
        <v>34837.378400000001</v>
      </c>
      <c r="N16" s="216">
        <f>('PAF-Consolidado'!G16*1.12)+('PAF-Consolidado'!N16*0.92)</f>
        <v>1159.2</v>
      </c>
      <c r="O16" s="216">
        <f>('PAF-Consolidado'!H16*1.12)+('PAF-Consolidado'!O16*0.96)</f>
        <v>0</v>
      </c>
      <c r="P16" s="216">
        <f>'PAF-Consolidado'!I16+'PAF-Consolidado'!P16</f>
        <v>0</v>
      </c>
      <c r="Q16" s="230" t="s">
        <v>498</v>
      </c>
      <c r="R16" s="230" t="s">
        <v>498</v>
      </c>
      <c r="S16" s="230" t="s">
        <v>498</v>
      </c>
      <c r="T16" s="230" t="s">
        <v>498</v>
      </c>
      <c r="U16" s="230" t="s">
        <v>498</v>
      </c>
      <c r="V16" s="230" t="s">
        <v>498</v>
      </c>
      <c r="W16" s="230" t="s">
        <v>497</v>
      </c>
      <c r="X16" s="11">
        <f>('TRA-Consolidado'!D16*1.45)*(IF(Q16="SIM",1,0))</f>
        <v>195.75</v>
      </c>
      <c r="Y16" s="11">
        <f>('TRA-Consolidado'!F16*1.37)*(IF(R16="SIM",1,0))</f>
        <v>739.80000000000007</v>
      </c>
      <c r="Z16" s="11">
        <f>('TRA-Consolidado'!H16*1.32)*(IF(S16="SIM",1,0))</f>
        <v>980.1</v>
      </c>
      <c r="AA16" s="11">
        <f>('TRA-Consolidado'!J16*1.25*1.19)*(IF(T16="SIM",1,0))</f>
        <v>1673.4375</v>
      </c>
      <c r="AB16" s="11">
        <f>('TRA-Consolidado'!L16*1.12)*(IF(U16="SIM",1,0))</f>
        <v>2324</v>
      </c>
      <c r="AC16" s="11">
        <f>('TRA-Consolidado'!N16*1.12)*(IF(V16="SIM",1,0))</f>
        <v>2316.1600000000003</v>
      </c>
      <c r="AD16" s="11">
        <f>('TRA-Consolidado'!P16)*(IF(W16="SIM",1,0))</f>
        <v>0</v>
      </c>
    </row>
    <row r="17" spans="2:30" x14ac:dyDescent="0.3">
      <c r="B17" s="9" t="s">
        <v>17</v>
      </c>
      <c r="C17" s="216">
        <f>'CTs-Consolidado'!C17*1.45*0.76</f>
        <v>0</v>
      </c>
      <c r="D17" s="216">
        <f>'CTs-Consolidado'!D17*1.37*0.8</f>
        <v>0</v>
      </c>
      <c r="E17" s="216">
        <f>'CTs-Consolidado'!E17*1.32*0.84</f>
        <v>0</v>
      </c>
      <c r="F17" s="216">
        <f>'CTs-Consolidado'!F17*1.19*0.88</f>
        <v>0</v>
      </c>
      <c r="G17" s="216">
        <f>'CTs-Consolidado'!G17*1.12*0.92</f>
        <v>0</v>
      </c>
      <c r="H17" s="216">
        <f>'CTs-Consolidado'!H17*1.12*0.96</f>
        <v>0</v>
      </c>
      <c r="I17" s="216">
        <f>'CTs-Consolidado'!I17</f>
        <v>0</v>
      </c>
      <c r="J17" s="216">
        <f>('PAF-Consolidado'!C17*1.45)+('PAF-Consolidado'!J17*0.76)</f>
        <v>0</v>
      </c>
      <c r="K17" s="216">
        <f>('PAF-Consolidado'!D17*1.37)+('PAF-Consolidado'!K17*0.8)</f>
        <v>0</v>
      </c>
      <c r="L17" s="216">
        <f>('PAF-Consolidado'!E17*1.32)+('PAF-Consolidado'!L17*0.84)</f>
        <v>0</v>
      </c>
      <c r="M17" s="216">
        <f>('PAF-Consolidado'!F17*1.19)+('PAF-Consolidado'!M17*0.88)</f>
        <v>0</v>
      </c>
      <c r="N17" s="216">
        <f>('PAF-Consolidado'!G17*1.12)+('PAF-Consolidado'!N17*0.92)</f>
        <v>38551.220000000008</v>
      </c>
      <c r="O17" s="216">
        <f>('PAF-Consolidado'!H17*1.12)+('PAF-Consolidado'!O17*0.96)</f>
        <v>0</v>
      </c>
      <c r="P17" s="216">
        <f>'PAF-Consolidado'!I17+'PAF-Consolidado'!P17</f>
        <v>0</v>
      </c>
      <c r="Q17" s="230" t="s">
        <v>498</v>
      </c>
      <c r="R17" s="230" t="s">
        <v>498</v>
      </c>
      <c r="S17" s="230" t="s">
        <v>498</v>
      </c>
      <c r="T17" s="230" t="s">
        <v>498</v>
      </c>
      <c r="U17" s="230" t="s">
        <v>498</v>
      </c>
      <c r="V17" s="230" t="s">
        <v>498</v>
      </c>
      <c r="W17" s="230" t="s">
        <v>498</v>
      </c>
      <c r="X17" s="11">
        <f>('TRA-Consolidado'!D17*1.45)*(IF(Q17="SIM",1,0))</f>
        <v>4328.25</v>
      </c>
      <c r="Y17" s="11">
        <f>('TRA-Consolidado'!F17*1.37)*(IF(R17="SIM",1,0))</f>
        <v>4260.7000000000007</v>
      </c>
      <c r="Z17" s="11">
        <f>('TRA-Consolidado'!H17*1.32)*(IF(S17="SIM",1,0))</f>
        <v>6006</v>
      </c>
      <c r="AA17" s="11">
        <f>('TRA-Consolidado'!J17*1.25*1.19)*(IF(T17="SIM",1,0))</f>
        <v>6753.25</v>
      </c>
      <c r="AB17" s="11">
        <f>('TRA-Consolidado'!L17*1.12)*(IF(U17="SIM",1,0))</f>
        <v>7257.6</v>
      </c>
      <c r="AC17" s="11">
        <f>('TRA-Consolidado'!N17*1.12)*(IF(V17="SIM",1,0))</f>
        <v>8845.76</v>
      </c>
      <c r="AD17" s="11">
        <f>('TRA-Consolidado'!P17)*(IF(W17="SIM",1,0))</f>
        <v>6060</v>
      </c>
    </row>
    <row r="18" spans="2:30" x14ac:dyDescent="0.3">
      <c r="B18" s="9" t="s">
        <v>19</v>
      </c>
      <c r="C18" s="216">
        <f>'CTs-Consolidado'!C18*1.45*0.76</f>
        <v>0</v>
      </c>
      <c r="D18" s="216">
        <f>'CTs-Consolidado'!D18*1.37*0.8</f>
        <v>0</v>
      </c>
      <c r="E18" s="216">
        <f>'CTs-Consolidado'!E18*1.32*0.84</f>
        <v>2749.8240000000001</v>
      </c>
      <c r="F18" s="216">
        <f>'CTs-Consolidado'!F18*1.19*0.88</f>
        <v>0</v>
      </c>
      <c r="G18" s="216">
        <f>'CTs-Consolidado'!G18*1.12*0.92</f>
        <v>0</v>
      </c>
      <c r="H18" s="216">
        <f>'CTs-Consolidado'!H18*1.12*0.96</f>
        <v>0</v>
      </c>
      <c r="I18" s="216">
        <f>'CTs-Consolidado'!I18</f>
        <v>0</v>
      </c>
      <c r="J18" s="216">
        <f>('PAF-Consolidado'!C18*1.45)+('PAF-Consolidado'!J18*0.76)</f>
        <v>0</v>
      </c>
      <c r="K18" s="216">
        <f>('PAF-Consolidado'!D18*1.37)+('PAF-Consolidado'!K18*0.8)</f>
        <v>7919.2000000000007</v>
      </c>
      <c r="L18" s="216">
        <f>('PAF-Consolidado'!E18*1.32)+('PAF-Consolidado'!L18*0.84)</f>
        <v>8064</v>
      </c>
      <c r="M18" s="216">
        <f>('PAF-Consolidado'!F18*1.19)+('PAF-Consolidado'!M18*0.88)</f>
        <v>0</v>
      </c>
      <c r="N18" s="216">
        <f>('PAF-Consolidado'!G18*1.12)+('PAF-Consolidado'!N18*0.92)</f>
        <v>0</v>
      </c>
      <c r="O18" s="216">
        <f>('PAF-Consolidado'!H18*1.12)+('PAF-Consolidado'!O18*0.96)</f>
        <v>0</v>
      </c>
      <c r="P18" s="216">
        <f>'PAF-Consolidado'!I18+'PAF-Consolidado'!P18</f>
        <v>0</v>
      </c>
      <c r="Q18" s="230" t="s">
        <v>498</v>
      </c>
      <c r="R18" s="230" t="s">
        <v>498</v>
      </c>
      <c r="S18" s="230" t="s">
        <v>498</v>
      </c>
      <c r="T18" s="230" t="s">
        <v>497</v>
      </c>
      <c r="U18" s="230" t="s">
        <v>497</v>
      </c>
      <c r="V18" s="230" t="s">
        <v>497</v>
      </c>
      <c r="W18" s="230" t="s">
        <v>497</v>
      </c>
      <c r="X18" s="11">
        <f>('TRA-Consolidado'!D18*1.45)*(IF(Q18="SIM",1,0))</f>
        <v>804.75</v>
      </c>
      <c r="Y18" s="11">
        <f>('TRA-Consolidado'!F18*1.37)*(IF(R18="SIM",1,0))</f>
        <v>1554.95</v>
      </c>
      <c r="Z18" s="11">
        <f>('TRA-Consolidado'!H18*1.32)*(IF(S18="SIM",1,0))</f>
        <v>1174.8</v>
      </c>
      <c r="AA18" s="11">
        <f>('TRA-Consolidado'!J18*1.25*1.19)*(IF(T18="SIM",1,0))</f>
        <v>0</v>
      </c>
      <c r="AB18" s="11">
        <f>('TRA-Consolidado'!L18*1.12)*(IF(U18="SIM",1,0))</f>
        <v>0</v>
      </c>
      <c r="AC18" s="11">
        <f>('TRA-Consolidado'!N18*1.12)*(IF(V18="SIM",1,0))</f>
        <v>0</v>
      </c>
      <c r="AD18" s="11">
        <f>('TRA-Consolidado'!P18)*(IF(W18="SIM",1,0))</f>
        <v>0</v>
      </c>
    </row>
    <row r="19" spans="2:30" x14ac:dyDescent="0.3">
      <c r="B19" s="9" t="s">
        <v>20</v>
      </c>
      <c r="C19" s="216">
        <f>'CTs-Consolidado'!C19*1.45*0.76</f>
        <v>0</v>
      </c>
      <c r="D19" s="216">
        <f>'CTs-Consolidado'!D19*1.37*0.8</f>
        <v>0</v>
      </c>
      <c r="E19" s="216">
        <f>'CTs-Consolidado'!E19*1.32*0.84</f>
        <v>0</v>
      </c>
      <c r="F19" s="216">
        <f>'CTs-Consolidado'!F19*1.19*0.88</f>
        <v>0</v>
      </c>
      <c r="G19" s="216">
        <f>'CTs-Consolidado'!G19*1.12*0.92</f>
        <v>0</v>
      </c>
      <c r="H19" s="216">
        <f>'CTs-Consolidado'!H19*1.12*0.96</f>
        <v>0</v>
      </c>
      <c r="I19" s="216">
        <f>'CTs-Consolidado'!I19</f>
        <v>2499</v>
      </c>
      <c r="J19" s="216">
        <f>('PAF-Consolidado'!C19*1.45)+('PAF-Consolidado'!J19*0.76)</f>
        <v>0</v>
      </c>
      <c r="K19" s="216">
        <f>('PAF-Consolidado'!D19*1.37)+('PAF-Consolidado'!K19*0.8)</f>
        <v>5200</v>
      </c>
      <c r="L19" s="216">
        <f>('PAF-Consolidado'!E19*1.32)+('PAF-Consolidado'!L19*0.84)</f>
        <v>12180</v>
      </c>
      <c r="M19" s="216">
        <f>('PAF-Consolidado'!F19*1.19)+('PAF-Consolidado'!M19*0.88)</f>
        <v>1848</v>
      </c>
      <c r="N19" s="216">
        <f>('PAF-Consolidado'!G19*1.12)+('PAF-Consolidado'!N19*0.92)</f>
        <v>0</v>
      </c>
      <c r="O19" s="216">
        <f>('PAF-Consolidado'!H19*1.12)+('PAF-Consolidado'!O19*0.96)</f>
        <v>0</v>
      </c>
      <c r="P19" s="216">
        <f>'PAF-Consolidado'!I19+'PAF-Consolidado'!P19</f>
        <v>0</v>
      </c>
      <c r="Q19" s="230" t="s">
        <v>498</v>
      </c>
      <c r="R19" s="230" t="s">
        <v>498</v>
      </c>
      <c r="S19" s="230" t="s">
        <v>498</v>
      </c>
      <c r="T19" s="230" t="s">
        <v>498</v>
      </c>
      <c r="U19" s="230" t="s">
        <v>498</v>
      </c>
      <c r="V19" s="230" t="s">
        <v>498</v>
      </c>
      <c r="W19" s="230" t="s">
        <v>498</v>
      </c>
      <c r="X19" s="11">
        <f>('TRA-Consolidado'!D19*1.45)*(IF(Q19="SIM",1,0))</f>
        <v>9823.75</v>
      </c>
      <c r="Y19" s="11">
        <f>('TRA-Consolidado'!F19*1.37)*(IF(R19="SIM",1,0))</f>
        <v>7637.7500000000009</v>
      </c>
      <c r="Z19" s="11">
        <f>('TRA-Consolidado'!H19*1.32)*(IF(S19="SIM",1,0))</f>
        <v>9814.2000000000007</v>
      </c>
      <c r="AA19" s="11">
        <f>('TRA-Consolidado'!J19*1.25*1.19)*(IF(T19="SIM",1,0))</f>
        <v>14465.9375</v>
      </c>
      <c r="AB19" s="11">
        <f>('TRA-Consolidado'!L19*1.12)*(IF(U19="SIM",1,0))</f>
        <v>13188.000000000002</v>
      </c>
      <c r="AC19" s="11">
        <f>('TRA-Consolidado'!N19*1.12)*(IF(V19="SIM",1,0))</f>
        <v>15239.840000000002</v>
      </c>
      <c r="AD19" s="11">
        <f>('TRA-Consolidado'!P19)*(IF(W19="SIM",1,0))</f>
        <v>14440</v>
      </c>
    </row>
    <row r="20" spans="2:30" x14ac:dyDescent="0.3">
      <c r="B20" s="9" t="s">
        <v>21</v>
      </c>
      <c r="C20" s="216">
        <f>'CTs-Consolidado'!C20*1.45*0.76</f>
        <v>1791.9401599999999</v>
      </c>
      <c r="D20" s="216">
        <f>'CTs-Consolidado'!D20*1.37*0.8</f>
        <v>0</v>
      </c>
      <c r="E20" s="216">
        <f>'CTs-Consolidado'!E20*1.32*0.84</f>
        <v>0</v>
      </c>
      <c r="F20" s="216">
        <f>'CTs-Consolidado'!F20*1.19*0.88</f>
        <v>0</v>
      </c>
      <c r="G20" s="216">
        <f>'CTs-Consolidado'!G20*1.12*0.92</f>
        <v>0</v>
      </c>
      <c r="H20" s="216">
        <f>'CTs-Consolidado'!H20*1.12*0.96</f>
        <v>0</v>
      </c>
      <c r="I20" s="216">
        <f>'CTs-Consolidado'!I20</f>
        <v>0</v>
      </c>
      <c r="J20" s="216">
        <f>('PAF-Consolidado'!C20*1.45)+('PAF-Consolidado'!J20*0.76)</f>
        <v>0</v>
      </c>
      <c r="K20" s="216">
        <f>('PAF-Consolidado'!D20*1.37)+('PAF-Consolidado'!K20*0.8)</f>
        <v>0</v>
      </c>
      <c r="L20" s="216">
        <f>('PAF-Consolidado'!E20*1.32)+('PAF-Consolidado'!L20*0.84)</f>
        <v>0</v>
      </c>
      <c r="M20" s="216">
        <f>('PAF-Consolidado'!F20*1.19)+('PAF-Consolidado'!M20*0.88)</f>
        <v>53203.966199999995</v>
      </c>
      <c r="N20" s="216">
        <f>('PAF-Consolidado'!G20*1.12)+('PAF-Consolidado'!N20*0.92)</f>
        <v>2829.23</v>
      </c>
      <c r="O20" s="216">
        <f>('PAF-Consolidado'!H20*1.12)+('PAF-Consolidado'!O20*0.96)</f>
        <v>0</v>
      </c>
      <c r="P20" s="216">
        <f>'PAF-Consolidado'!I20+'PAF-Consolidado'!P20</f>
        <v>0</v>
      </c>
      <c r="Q20" s="230" t="s">
        <v>498</v>
      </c>
      <c r="R20" s="230" t="s">
        <v>498</v>
      </c>
      <c r="S20" s="230" t="s">
        <v>498</v>
      </c>
      <c r="T20" s="230" t="s">
        <v>498</v>
      </c>
      <c r="U20" s="230" t="s">
        <v>498</v>
      </c>
      <c r="V20" s="230" t="s">
        <v>498</v>
      </c>
      <c r="W20" s="230" t="s">
        <v>498</v>
      </c>
      <c r="X20" s="11">
        <f>('TRA-Consolidado'!D20*1.45)*(IF(Q20="SIM",1,0))</f>
        <v>0</v>
      </c>
      <c r="Y20" s="11">
        <f>('TRA-Consolidado'!F20*1.37)*(IF(R20="SIM",1,0))</f>
        <v>1541.2500000000002</v>
      </c>
      <c r="Z20" s="11">
        <f>('TRA-Consolidado'!H20*1.32)*(IF(S20="SIM",1,0))</f>
        <v>3867.6000000000004</v>
      </c>
      <c r="AA20" s="11">
        <f>('TRA-Consolidado'!J20*1.25*1.19)*(IF(T20="SIM",1,0))</f>
        <v>5466.5625</v>
      </c>
      <c r="AB20" s="11">
        <f>('TRA-Consolidado'!L20*1.12)*(IF(U20="SIM",1,0))</f>
        <v>4043.2000000000003</v>
      </c>
      <c r="AC20" s="11">
        <f>('TRA-Consolidado'!N20*1.12)*(IF(V20="SIM",1,0))</f>
        <v>3825.3600000000006</v>
      </c>
      <c r="AD20" s="11">
        <f>('TRA-Consolidado'!P20)*(IF(W20="SIM",1,0))</f>
        <v>3746.1</v>
      </c>
    </row>
    <row r="21" spans="2:30" x14ac:dyDescent="0.3">
      <c r="B21" s="9" t="s">
        <v>23</v>
      </c>
      <c r="C21" s="216">
        <f>'CTs-Consolidado'!C21*1.45*0.76</f>
        <v>0</v>
      </c>
      <c r="D21" s="216">
        <f>'CTs-Consolidado'!D21*1.37*0.8</f>
        <v>0</v>
      </c>
      <c r="E21" s="216">
        <f>'CTs-Consolidado'!E21*1.32*0.84</f>
        <v>0</v>
      </c>
      <c r="F21" s="216">
        <f>'CTs-Consolidado'!F21*1.19*0.88</f>
        <v>0</v>
      </c>
      <c r="G21" s="216">
        <f>'CTs-Consolidado'!G21*1.12*0.92</f>
        <v>99931.805972241855</v>
      </c>
      <c r="H21" s="216">
        <f>'CTs-Consolidado'!H21*1.12*0.96</f>
        <v>0</v>
      </c>
      <c r="I21" s="216">
        <f>'CTs-Consolidado'!I21</f>
        <v>0</v>
      </c>
      <c r="J21" s="216">
        <f>('PAF-Consolidado'!C21*1.45)+('PAF-Consolidado'!J21*0.76)</f>
        <v>0</v>
      </c>
      <c r="K21" s="216">
        <f>('PAF-Consolidado'!D21*1.37)+('PAF-Consolidado'!K21*0.8)</f>
        <v>17579.2</v>
      </c>
      <c r="L21" s="216">
        <f>('PAF-Consolidado'!E21*1.32)+('PAF-Consolidado'!L21*0.84)</f>
        <v>2412.0000000000005</v>
      </c>
      <c r="M21" s="216">
        <f>('PAF-Consolidado'!F21*1.19)+('PAF-Consolidado'!M21*0.88)</f>
        <v>3080</v>
      </c>
      <c r="N21" s="216">
        <f>('PAF-Consolidado'!G21*1.12)+('PAF-Consolidado'!N21*0.92)</f>
        <v>0</v>
      </c>
      <c r="O21" s="216">
        <f>('PAF-Consolidado'!H21*1.12)+('PAF-Consolidado'!O21*0.96)</f>
        <v>0</v>
      </c>
      <c r="P21" s="216">
        <f>'PAF-Consolidado'!I21+'PAF-Consolidado'!P21</f>
        <v>0</v>
      </c>
      <c r="Q21" s="230" t="s">
        <v>498</v>
      </c>
      <c r="R21" s="230" t="s">
        <v>498</v>
      </c>
      <c r="S21" s="230" t="s">
        <v>498</v>
      </c>
      <c r="T21" s="230" t="s">
        <v>498</v>
      </c>
      <c r="U21" s="230" t="s">
        <v>498</v>
      </c>
      <c r="V21" s="230" t="s">
        <v>498</v>
      </c>
      <c r="W21" s="230" t="s">
        <v>497</v>
      </c>
      <c r="X21" s="11">
        <f>('TRA-Consolidado'!D21*1.45)*(IF(Q21="SIM",1,0))</f>
        <v>24642.75</v>
      </c>
      <c r="Y21" s="11">
        <f>('TRA-Consolidado'!F21*1.37)*(IF(R21="SIM",1,0))</f>
        <v>31968.95</v>
      </c>
      <c r="Z21" s="11">
        <f>('TRA-Consolidado'!H21*1.32)*(IF(S21="SIM",1,0))</f>
        <v>27767.52</v>
      </c>
      <c r="AA21" s="11">
        <f>('TRA-Consolidado'!J21*1.25*1.19)*(IF(T21="SIM",1,0))</f>
        <v>24908.1875</v>
      </c>
      <c r="AB21" s="11">
        <f>('TRA-Consolidado'!L21*1.12)*(IF(U21="SIM",1,0))</f>
        <v>36254.400000000001</v>
      </c>
      <c r="AC21" s="11">
        <f>('TRA-Consolidado'!N21*1.12)*(IF(V21="SIM",1,0))</f>
        <v>39799.760000000002</v>
      </c>
      <c r="AD21" s="11">
        <f>('TRA-Consolidado'!P21)*(IF(W21="SIM",1,0))</f>
        <v>0</v>
      </c>
    </row>
    <row r="22" spans="2:30" x14ac:dyDescent="0.3">
      <c r="B22" s="9" t="s">
        <v>24</v>
      </c>
      <c r="C22" s="216">
        <f>'CTs-Consolidado'!C22*1.45*0.76</f>
        <v>0</v>
      </c>
      <c r="D22" s="216">
        <f>'CTs-Consolidado'!D22*1.37*0.8</f>
        <v>0</v>
      </c>
      <c r="E22" s="216">
        <f>'CTs-Consolidado'!E22*1.32*0.84</f>
        <v>0</v>
      </c>
      <c r="F22" s="216">
        <f>'CTs-Consolidado'!F22*1.19*0.88</f>
        <v>0</v>
      </c>
      <c r="G22" s="216">
        <f>'CTs-Consolidado'!G22*1.12*0.92</f>
        <v>0</v>
      </c>
      <c r="H22" s="216">
        <f>'CTs-Consolidado'!H22*1.12*0.96</f>
        <v>0</v>
      </c>
      <c r="I22" s="216">
        <f>'CTs-Consolidado'!I22</f>
        <v>0</v>
      </c>
      <c r="J22" s="216">
        <f>('PAF-Consolidado'!C22*1.45)+('PAF-Consolidado'!J22*0.76)</f>
        <v>0</v>
      </c>
      <c r="K22" s="216">
        <f>('PAF-Consolidado'!D22*1.37)+('PAF-Consolidado'!K22*0.8)</f>
        <v>2368.4</v>
      </c>
      <c r="L22" s="216">
        <f>('PAF-Consolidado'!E22*1.32)+('PAF-Consolidado'!L22*0.84)</f>
        <v>12515.52</v>
      </c>
      <c r="M22" s="216">
        <f>('PAF-Consolidado'!F22*1.19)+('PAF-Consolidado'!M22*0.88)</f>
        <v>43377.589600000007</v>
      </c>
      <c r="N22" s="216">
        <f>('PAF-Consolidado'!G22*1.12)+('PAF-Consolidado'!N22*0.92)</f>
        <v>10481.191999999999</v>
      </c>
      <c r="O22" s="216">
        <f>('PAF-Consolidado'!H22*1.12)+('PAF-Consolidado'!O22*0.96)</f>
        <v>57.599999999999994</v>
      </c>
      <c r="P22" s="216">
        <f>'PAF-Consolidado'!I22+'PAF-Consolidado'!P22</f>
        <v>0</v>
      </c>
      <c r="Q22" s="230" t="s">
        <v>498</v>
      </c>
      <c r="R22" s="230" t="s">
        <v>498</v>
      </c>
      <c r="S22" s="230" t="s">
        <v>498</v>
      </c>
      <c r="T22" s="230" t="s">
        <v>498</v>
      </c>
      <c r="U22" s="230" t="s">
        <v>498</v>
      </c>
      <c r="V22" s="230" t="s">
        <v>498</v>
      </c>
      <c r="W22" s="230" t="s">
        <v>497</v>
      </c>
      <c r="X22" s="11">
        <f>('TRA-Consolidado'!D22*1.45)*(IF(Q22="SIM",1,0))</f>
        <v>11919</v>
      </c>
      <c r="Y22" s="11">
        <f>('TRA-Consolidado'!F22*1.37)*(IF(R22="SIM",1,0))</f>
        <v>14912.45</v>
      </c>
      <c r="Z22" s="11">
        <f>('TRA-Consolidado'!H22*1.32)*(IF(S22="SIM",1,0))</f>
        <v>17552.7</v>
      </c>
      <c r="AA22" s="11">
        <f>('TRA-Consolidado'!J22*1.25*1.19)*(IF(T22="SIM",1,0))</f>
        <v>14161</v>
      </c>
      <c r="AB22" s="11">
        <f>('TRA-Consolidado'!L22*1.12)*(IF(U22="SIM",1,0))</f>
        <v>11396.000000000002</v>
      </c>
      <c r="AC22" s="11">
        <f>('TRA-Consolidado'!N22*1.12)*(IF(V22="SIM",1,0))</f>
        <v>11373.712000000001</v>
      </c>
      <c r="AD22" s="11">
        <f>('TRA-Consolidado'!P22)*(IF(W22="SIM",1,0))</f>
        <v>0</v>
      </c>
    </row>
    <row r="23" spans="2:30" x14ac:dyDescent="0.3">
      <c r="B23" s="9" t="s">
        <v>25</v>
      </c>
      <c r="C23" s="216">
        <f>'CTs-Consolidado'!C23*1.45*0.76</f>
        <v>0</v>
      </c>
      <c r="D23" s="216">
        <f>'CTs-Consolidado'!D23*1.37*0.8</f>
        <v>0</v>
      </c>
      <c r="E23" s="216">
        <f>'CTs-Consolidado'!E23*1.32*0.84</f>
        <v>0</v>
      </c>
      <c r="F23" s="216">
        <f>'CTs-Consolidado'!F23*1.19*0.88</f>
        <v>0</v>
      </c>
      <c r="G23" s="216">
        <f>'CTs-Consolidado'!G23*1.12*0.92</f>
        <v>20338.066112000004</v>
      </c>
      <c r="H23" s="216">
        <f>'CTs-Consolidado'!H23*1.12*0.96</f>
        <v>0</v>
      </c>
      <c r="I23" s="216">
        <f>'CTs-Consolidado'!I23</f>
        <v>0</v>
      </c>
      <c r="J23" s="216">
        <f>('PAF-Consolidado'!C23*1.45)+('PAF-Consolidado'!J23*0.76)</f>
        <v>0</v>
      </c>
      <c r="K23" s="216">
        <f>('PAF-Consolidado'!D23*1.37)+('PAF-Consolidado'!K23*0.8)</f>
        <v>0</v>
      </c>
      <c r="L23" s="216">
        <f>('PAF-Consolidado'!E23*1.32)+('PAF-Consolidado'!L23*0.84)</f>
        <v>22287.434399999998</v>
      </c>
      <c r="M23" s="216">
        <f>('PAF-Consolidado'!F23*1.19)+('PAF-Consolidado'!M23*0.88)</f>
        <v>0</v>
      </c>
      <c r="N23" s="216">
        <f>('PAF-Consolidado'!G23*1.12)+('PAF-Consolidado'!N23*0.92)</f>
        <v>0</v>
      </c>
      <c r="O23" s="216">
        <f>('PAF-Consolidado'!H23*1.12)+('PAF-Consolidado'!O23*0.96)</f>
        <v>0</v>
      </c>
      <c r="P23" s="216">
        <f>'PAF-Consolidado'!I23+'PAF-Consolidado'!P23</f>
        <v>0</v>
      </c>
      <c r="Q23" s="230" t="s">
        <v>498</v>
      </c>
      <c r="R23" s="230" t="s">
        <v>497</v>
      </c>
      <c r="S23" s="230" t="s">
        <v>497</v>
      </c>
      <c r="T23" s="230" t="s">
        <v>498</v>
      </c>
      <c r="U23" s="230" t="s">
        <v>497</v>
      </c>
      <c r="V23" s="230" t="s">
        <v>498</v>
      </c>
      <c r="W23" s="230" t="s">
        <v>498</v>
      </c>
      <c r="X23" s="11">
        <f>('TRA-Consolidado'!D23*1.45)*(IF(Q23="SIM",1,0))</f>
        <v>928</v>
      </c>
      <c r="Y23" s="11">
        <f>('TRA-Consolidado'!F23*1.37)*(IF(R23="SIM",1,0))</f>
        <v>0</v>
      </c>
      <c r="Z23" s="11">
        <f>('TRA-Consolidado'!H23*1.32)*(IF(S23="SIM",1,0))</f>
        <v>0</v>
      </c>
      <c r="AA23" s="11">
        <f>('TRA-Consolidado'!J23*1.25*1.19)*(IF(T23="SIM",1,0))</f>
        <v>334.6875</v>
      </c>
      <c r="AB23" s="11">
        <f>('TRA-Consolidado'!L23*1.12)*(IF(U23="SIM",1,0))</f>
        <v>0</v>
      </c>
      <c r="AC23" s="11">
        <f>('TRA-Consolidado'!N23*1.12)*(IF(V23="SIM",1,0))</f>
        <v>8993.6</v>
      </c>
      <c r="AD23" s="11">
        <f>('TRA-Consolidado'!P23)*(IF(W23="SIM",1,0))</f>
        <v>6728.1</v>
      </c>
    </row>
    <row r="24" spans="2:30" x14ac:dyDescent="0.3">
      <c r="B24" s="9" t="s">
        <v>26</v>
      </c>
      <c r="C24" s="216">
        <f>'CTs-Consolidado'!C24*1.45*0.76</f>
        <v>0</v>
      </c>
      <c r="D24" s="216">
        <f>'CTs-Consolidado'!D24*1.37*0.8</f>
        <v>0</v>
      </c>
      <c r="E24" s="216">
        <f>'CTs-Consolidado'!E24*1.32*0.84</f>
        <v>0</v>
      </c>
      <c r="F24" s="216">
        <f>'CTs-Consolidado'!F24*1.19*0.88</f>
        <v>0</v>
      </c>
      <c r="G24" s="216">
        <f>'CTs-Consolidado'!G24*1.12*0.92</f>
        <v>0</v>
      </c>
      <c r="H24" s="216">
        <f>'CTs-Consolidado'!H24*1.12*0.96</f>
        <v>0</v>
      </c>
      <c r="I24" s="216">
        <f>'CTs-Consolidado'!I24</f>
        <v>0</v>
      </c>
      <c r="J24" s="216">
        <f>('PAF-Consolidado'!C24*1.45)+('PAF-Consolidado'!J24*0.76)</f>
        <v>0</v>
      </c>
      <c r="K24" s="216">
        <f>('PAF-Consolidado'!D24*1.37)+('PAF-Consolidado'!K24*0.8)</f>
        <v>0</v>
      </c>
      <c r="L24" s="216">
        <f>('PAF-Consolidado'!E24*1.32)+('PAF-Consolidado'!L24*0.84)</f>
        <v>0</v>
      </c>
      <c r="M24" s="216">
        <f>('PAF-Consolidado'!F24*1.19)+('PAF-Consolidado'!M24*0.88)</f>
        <v>0</v>
      </c>
      <c r="N24" s="216">
        <f>('PAF-Consolidado'!G24*1.12)+('PAF-Consolidado'!N24*0.92)</f>
        <v>0</v>
      </c>
      <c r="O24" s="216">
        <f>('PAF-Consolidado'!H24*1.12)+('PAF-Consolidado'!O24*0.96)</f>
        <v>0</v>
      </c>
      <c r="P24" s="216">
        <f>'PAF-Consolidado'!I24+'PAF-Consolidado'!P24</f>
        <v>0</v>
      </c>
      <c r="Q24" s="230" t="s">
        <v>498</v>
      </c>
      <c r="R24" s="230" t="s">
        <v>498</v>
      </c>
      <c r="S24" s="230" t="s">
        <v>498</v>
      </c>
      <c r="T24" s="230" t="s">
        <v>498</v>
      </c>
      <c r="U24" s="230" t="s">
        <v>498</v>
      </c>
      <c r="V24" s="230" t="s">
        <v>498</v>
      </c>
      <c r="W24" s="230" t="s">
        <v>498</v>
      </c>
      <c r="X24" s="11">
        <f>('TRA-Consolidado'!D24*1.45)*(IF(Q24="SIM",1,0))</f>
        <v>0</v>
      </c>
      <c r="Y24" s="11">
        <f>('TRA-Consolidado'!F24*1.37)*(IF(R24="SIM",1,0))</f>
        <v>424.70000000000005</v>
      </c>
      <c r="Z24" s="11">
        <f>('TRA-Consolidado'!H24*1.32)*(IF(S24="SIM",1,0))</f>
        <v>673.2</v>
      </c>
      <c r="AA24" s="11">
        <f>('TRA-Consolidado'!J24*1.25*1.19)*(IF(T24="SIM",1,0))</f>
        <v>111.5625</v>
      </c>
      <c r="AB24" s="11">
        <f>('TRA-Consolidado'!L24*1.12)*(IF(U24="SIM",1,0))</f>
        <v>196.00000000000003</v>
      </c>
      <c r="AC24" s="11">
        <f>('TRA-Consolidado'!N24*1.12)*(IF(V24="SIM",1,0))</f>
        <v>1663.2</v>
      </c>
      <c r="AD24" s="11">
        <f>('TRA-Consolidado'!P24)*(IF(W24="SIM",1,0))</f>
        <v>0</v>
      </c>
    </row>
    <row r="25" spans="2:30" x14ac:dyDescent="0.3">
      <c r="B25" s="9" t="s">
        <v>27</v>
      </c>
      <c r="C25" s="216">
        <f>'CTs-Consolidado'!C25*1.45*0.76</f>
        <v>0</v>
      </c>
      <c r="D25" s="216">
        <f>'CTs-Consolidado'!D25*1.37*0.8</f>
        <v>0</v>
      </c>
      <c r="E25" s="216">
        <f>'CTs-Consolidado'!E25*1.32*0.84</f>
        <v>0</v>
      </c>
      <c r="F25" s="216">
        <f>'CTs-Consolidado'!F25*1.19*0.88</f>
        <v>0</v>
      </c>
      <c r="G25" s="216">
        <f>'CTs-Consolidado'!G25*1.12*0.92</f>
        <v>0</v>
      </c>
      <c r="H25" s="216">
        <f>'CTs-Consolidado'!H25*1.12*0.96</f>
        <v>0</v>
      </c>
      <c r="I25" s="216">
        <f>'CTs-Consolidado'!I25</f>
        <v>0</v>
      </c>
      <c r="J25" s="216">
        <f>('PAF-Consolidado'!C25*1.45)+('PAF-Consolidado'!J25*0.76)</f>
        <v>0</v>
      </c>
      <c r="K25" s="216">
        <f>('PAF-Consolidado'!D25*1.37)+('PAF-Consolidado'!K25*0.8)</f>
        <v>0</v>
      </c>
      <c r="L25" s="216">
        <f>('PAF-Consolidado'!E25*1.32)+('PAF-Consolidado'!L25*0.84)</f>
        <v>0</v>
      </c>
      <c r="M25" s="216">
        <f>('PAF-Consolidado'!F25*1.19)+('PAF-Consolidado'!M25*0.88)</f>
        <v>0</v>
      </c>
      <c r="N25" s="216">
        <f>('PAF-Consolidado'!G25*1.12)+('PAF-Consolidado'!N25*0.92)</f>
        <v>0</v>
      </c>
      <c r="O25" s="216">
        <f>('PAF-Consolidado'!H25*1.12)+('PAF-Consolidado'!O25*0.96)</f>
        <v>0</v>
      </c>
      <c r="P25" s="216">
        <f>'PAF-Consolidado'!I25+'PAF-Consolidado'!P25</f>
        <v>0</v>
      </c>
      <c r="Q25" s="230" t="s">
        <v>497</v>
      </c>
      <c r="R25" s="230" t="s">
        <v>497</v>
      </c>
      <c r="S25" s="230" t="s">
        <v>497</v>
      </c>
      <c r="T25" s="230" t="s">
        <v>497</v>
      </c>
      <c r="U25" s="230" t="s">
        <v>497</v>
      </c>
      <c r="V25" s="230" t="s">
        <v>497</v>
      </c>
      <c r="W25" s="230" t="s">
        <v>497</v>
      </c>
      <c r="X25" s="11">
        <f>('TRA-Consolidado'!D25*1.45)*(IF(Q25="SIM",1,0))</f>
        <v>0</v>
      </c>
      <c r="Y25" s="11">
        <f>('TRA-Consolidado'!F25*1.37)*(IF(R25="SIM",1,0))</f>
        <v>0</v>
      </c>
      <c r="Z25" s="11">
        <f>('TRA-Consolidado'!H25*1.32)*(IF(S25="SIM",1,0))</f>
        <v>0</v>
      </c>
      <c r="AA25" s="11">
        <f>('TRA-Consolidado'!J25*1.25*1.19)*(IF(T25="SIM",1,0))</f>
        <v>0</v>
      </c>
      <c r="AB25" s="11">
        <f>('TRA-Consolidado'!L25*1.12)*(IF(U25="SIM",1,0))</f>
        <v>0</v>
      </c>
      <c r="AC25" s="11">
        <f>('TRA-Consolidado'!N25*1.12)*(IF(V25="SIM",1,0))</f>
        <v>0</v>
      </c>
      <c r="AD25" s="11">
        <f>('TRA-Consolidado'!P25)*(IF(W25="SIM",1,0))</f>
        <v>0</v>
      </c>
    </row>
    <row r="26" spans="2:30" x14ac:dyDescent="0.3">
      <c r="B26" s="9" t="s">
        <v>28</v>
      </c>
      <c r="C26" s="216">
        <f>'CTs-Consolidado'!C26*1.45*0.76</f>
        <v>0</v>
      </c>
      <c r="D26" s="216">
        <f>'CTs-Consolidado'!D26*1.37*0.8</f>
        <v>0</v>
      </c>
      <c r="E26" s="216">
        <f>'CTs-Consolidado'!E26*1.32*0.84</f>
        <v>0</v>
      </c>
      <c r="F26" s="216">
        <f>'CTs-Consolidado'!F26*1.19*0.88</f>
        <v>0</v>
      </c>
      <c r="G26" s="216">
        <f>'CTs-Consolidado'!G26*1.12*0.92</f>
        <v>0</v>
      </c>
      <c r="H26" s="216">
        <f>'CTs-Consolidado'!H26*1.12*0.96</f>
        <v>0</v>
      </c>
      <c r="I26" s="216">
        <f>'CTs-Consolidado'!I26</f>
        <v>0</v>
      </c>
      <c r="J26" s="216">
        <f>('PAF-Consolidado'!C26*1.45)+('PAF-Consolidado'!J26*0.76)</f>
        <v>0</v>
      </c>
      <c r="K26" s="216">
        <f>('PAF-Consolidado'!D26*1.37)+('PAF-Consolidado'!K26*0.8)</f>
        <v>0</v>
      </c>
      <c r="L26" s="216">
        <f>('PAF-Consolidado'!E26*1.32)+('PAF-Consolidado'!L26*0.84)</f>
        <v>0</v>
      </c>
      <c r="M26" s="216">
        <f>('PAF-Consolidado'!F26*1.19)+('PAF-Consolidado'!M26*0.88)</f>
        <v>53916.878400000009</v>
      </c>
      <c r="N26" s="216">
        <f>('PAF-Consolidado'!G26*1.12)+('PAF-Consolidado'!N26*0.92)</f>
        <v>0</v>
      </c>
      <c r="O26" s="216">
        <f>('PAF-Consolidado'!H26*1.12)+('PAF-Consolidado'!O26*0.96)</f>
        <v>0</v>
      </c>
      <c r="P26" s="216">
        <f>'PAF-Consolidado'!I26+'PAF-Consolidado'!P26</f>
        <v>0</v>
      </c>
      <c r="Q26" s="230" t="s">
        <v>498</v>
      </c>
      <c r="R26" s="230" t="s">
        <v>498</v>
      </c>
      <c r="S26" s="230" t="s">
        <v>498</v>
      </c>
      <c r="T26" s="230" t="s">
        <v>498</v>
      </c>
      <c r="U26" s="230" t="s">
        <v>498</v>
      </c>
      <c r="V26" s="230" t="s">
        <v>498</v>
      </c>
      <c r="W26" s="230" t="s">
        <v>498</v>
      </c>
      <c r="X26" s="11">
        <f>('TRA-Consolidado'!D26*1.45)*(IF(Q26="SIM",1,0))</f>
        <v>3552.5</v>
      </c>
      <c r="Y26" s="11">
        <f>('TRA-Consolidado'!F26*1.37)*(IF(R26="SIM",1,0))</f>
        <v>3966.15</v>
      </c>
      <c r="Z26" s="11">
        <f>('TRA-Consolidado'!H26*1.32)*(IF(S26="SIM",1,0))</f>
        <v>4035.2400000000002</v>
      </c>
      <c r="AA26" s="11">
        <f>('TRA-Consolidado'!J26*1.25*1.19)*(IF(T26="SIM",1,0))</f>
        <v>6931.75</v>
      </c>
      <c r="AB26" s="11">
        <f>('TRA-Consolidado'!L26*1.12)*(IF(U26="SIM",1,0))</f>
        <v>7694.4000000000005</v>
      </c>
      <c r="AC26" s="11">
        <f>('TRA-Consolidado'!N26*1.12)*(IF(V26="SIM",1,0))</f>
        <v>9301.6</v>
      </c>
      <c r="AD26" s="11">
        <f>('TRA-Consolidado'!P26)*(IF(W26="SIM",1,0))</f>
        <v>9734.1</v>
      </c>
    </row>
    <row r="27" spans="2:30" x14ac:dyDescent="0.3">
      <c r="B27" s="9" t="s">
        <v>29</v>
      </c>
      <c r="C27" s="216">
        <f>'CTs-Consolidado'!C27*1.45*0.76</f>
        <v>0</v>
      </c>
      <c r="D27" s="216">
        <f>'CTs-Consolidado'!D27*1.37*0.8</f>
        <v>0</v>
      </c>
      <c r="E27" s="216">
        <f>'CTs-Consolidado'!E27*1.32*0.84</f>
        <v>0</v>
      </c>
      <c r="F27" s="216">
        <f>'CTs-Consolidado'!F27*1.19*0.88</f>
        <v>0</v>
      </c>
      <c r="G27" s="216">
        <f>'CTs-Consolidado'!G27*1.12*0.92</f>
        <v>0</v>
      </c>
      <c r="H27" s="216">
        <f>'CTs-Consolidado'!H27*1.12*0.96</f>
        <v>24514.560000000001</v>
      </c>
      <c r="I27" s="216">
        <f>'CTs-Consolidado'!I27</f>
        <v>0</v>
      </c>
      <c r="J27" s="216">
        <f>('PAF-Consolidado'!C27*1.45)+('PAF-Consolidado'!J27*0.76)</f>
        <v>0</v>
      </c>
      <c r="K27" s="216">
        <f>('PAF-Consolidado'!D27*1.37)+('PAF-Consolidado'!K27*0.8)</f>
        <v>15628</v>
      </c>
      <c r="L27" s="216">
        <f>('PAF-Consolidado'!E27*1.32)+('PAF-Consolidado'!L27*0.84)</f>
        <v>2059.2000000000003</v>
      </c>
      <c r="M27" s="216">
        <f>('PAF-Consolidado'!F27*1.19)+('PAF-Consolidado'!M27*0.88)</f>
        <v>63431.918400000002</v>
      </c>
      <c r="N27" s="216">
        <f>('PAF-Consolidado'!G27*1.12)+('PAF-Consolidado'!N27*0.92)</f>
        <v>17513.7696</v>
      </c>
      <c r="O27" s="216">
        <f>('PAF-Consolidado'!H27*1.12)+('PAF-Consolidado'!O27*0.96)</f>
        <v>0</v>
      </c>
      <c r="P27" s="216">
        <f>'PAF-Consolidado'!I27+'PAF-Consolidado'!P27</f>
        <v>0</v>
      </c>
      <c r="Q27" s="230" t="s">
        <v>498</v>
      </c>
      <c r="R27" s="230" t="s">
        <v>498</v>
      </c>
      <c r="S27" s="230" t="s">
        <v>498</v>
      </c>
      <c r="T27" s="230" t="s">
        <v>498</v>
      </c>
      <c r="U27" s="230" t="s">
        <v>498</v>
      </c>
      <c r="V27" s="230" t="s">
        <v>498</v>
      </c>
      <c r="W27" s="230" t="s">
        <v>498</v>
      </c>
      <c r="X27" s="11">
        <f>('TRA-Consolidado'!D27*1.45)*(IF(Q27="SIM",1,0))</f>
        <v>20329</v>
      </c>
      <c r="Y27" s="11">
        <f>('TRA-Consolidado'!F27*1.37)*(IF(R27="SIM",1,0))</f>
        <v>27331.500000000004</v>
      </c>
      <c r="Z27" s="11">
        <f>('TRA-Consolidado'!H27*1.32)*(IF(S27="SIM",1,0))</f>
        <v>31390.920000000002</v>
      </c>
      <c r="AA27" s="11">
        <f>('TRA-Consolidado'!J27*1.25*1.19)*(IF(T27="SIM",1,0))</f>
        <v>37477.5625</v>
      </c>
      <c r="AB27" s="11">
        <f>('TRA-Consolidado'!L27*1.12)*(IF(U27="SIM",1,0))</f>
        <v>35016.800000000003</v>
      </c>
      <c r="AC27" s="11">
        <f>('TRA-Consolidado'!N27*1.12)*(IF(V27="SIM",1,0))</f>
        <v>39448.640000000007</v>
      </c>
      <c r="AD27" s="11">
        <f>('TRA-Consolidado'!P27)*(IF(W27="SIM",1,0))</f>
        <v>35222</v>
      </c>
    </row>
    <row r="28" spans="2:30" x14ac:dyDescent="0.3">
      <c r="B28" s="9" t="s">
        <v>30</v>
      </c>
      <c r="C28" s="216">
        <f>'CTs-Consolidado'!C28*1.45*0.76</f>
        <v>0</v>
      </c>
      <c r="D28" s="216">
        <f>'CTs-Consolidado'!D28*1.37*0.8</f>
        <v>0</v>
      </c>
      <c r="E28" s="216">
        <f>'CTs-Consolidado'!E28*1.32*0.84</f>
        <v>0</v>
      </c>
      <c r="F28" s="216">
        <f>'CTs-Consolidado'!F28*1.19*0.88</f>
        <v>0</v>
      </c>
      <c r="G28" s="216">
        <f>'CTs-Consolidado'!G28*1.12*0.92</f>
        <v>0</v>
      </c>
      <c r="H28" s="216">
        <f>'CTs-Consolidado'!H28*1.12*0.96</f>
        <v>0</v>
      </c>
      <c r="I28" s="216">
        <f>'CTs-Consolidado'!I28</f>
        <v>0</v>
      </c>
      <c r="J28" s="216">
        <f>('PAF-Consolidado'!C28*1.45)+('PAF-Consolidado'!J28*0.76)</f>
        <v>0</v>
      </c>
      <c r="K28" s="216">
        <f>('PAF-Consolidado'!D28*1.37)+('PAF-Consolidado'!K28*0.8)</f>
        <v>7680</v>
      </c>
      <c r="L28" s="216">
        <f>('PAF-Consolidado'!E28*1.32)+('PAF-Consolidado'!L28*0.84)</f>
        <v>176.4</v>
      </c>
      <c r="M28" s="216">
        <f>('PAF-Consolidado'!F28*1.19)+('PAF-Consolidado'!M28*0.88)</f>
        <v>1985.808</v>
      </c>
      <c r="N28" s="216">
        <f>('PAF-Consolidado'!G28*1.12)+('PAF-Consolidado'!N28*0.92)</f>
        <v>21654.371200000001</v>
      </c>
      <c r="O28" s="216">
        <f>('PAF-Consolidado'!H28*1.12)+('PAF-Consolidado'!O28*0.96)</f>
        <v>0</v>
      </c>
      <c r="P28" s="216">
        <f>'PAF-Consolidado'!I28+'PAF-Consolidado'!P28</f>
        <v>0</v>
      </c>
      <c r="Q28" s="230" t="s">
        <v>498</v>
      </c>
      <c r="R28" s="230" t="s">
        <v>498</v>
      </c>
      <c r="S28" s="230" t="s">
        <v>498</v>
      </c>
      <c r="T28" s="230" t="s">
        <v>497</v>
      </c>
      <c r="U28" s="230" t="s">
        <v>497</v>
      </c>
      <c r="V28" s="230" t="s">
        <v>498</v>
      </c>
      <c r="W28" s="230" t="s">
        <v>497</v>
      </c>
      <c r="X28" s="11">
        <f>('TRA-Consolidado'!D28*1.45)*(IF(Q28="SIM",1,0))</f>
        <v>3915</v>
      </c>
      <c r="Y28" s="11">
        <f>('TRA-Consolidado'!F28*1.37)*(IF(R28="SIM",1,0))</f>
        <v>4007.2500000000005</v>
      </c>
      <c r="Z28" s="11">
        <f>('TRA-Consolidado'!H28*1.32)*(IF(S28="SIM",1,0))</f>
        <v>4639.8</v>
      </c>
      <c r="AA28" s="11">
        <f>('TRA-Consolidado'!J28*1.25*1.19)*(IF(T28="SIM",1,0))</f>
        <v>0</v>
      </c>
      <c r="AB28" s="11">
        <f>('TRA-Consolidado'!L28*1.12)*(IF(U28="SIM",1,0))</f>
        <v>0</v>
      </c>
      <c r="AC28" s="11">
        <f>('TRA-Consolidado'!N28*1.12)*(IF(V28="SIM",1,0))</f>
        <v>3307.9200000000005</v>
      </c>
      <c r="AD28" s="11">
        <f>('TRA-Consolidado'!P28)*(IF(W28="SIM",1,0))</f>
        <v>0</v>
      </c>
    </row>
    <row r="29" spans="2:30" x14ac:dyDescent="0.3">
      <c r="B29" s="9" t="s">
        <v>31</v>
      </c>
      <c r="C29" s="216">
        <f>'CTs-Consolidado'!C29*1.45*0.76</f>
        <v>189063.21943999996</v>
      </c>
      <c r="D29" s="216">
        <f>'CTs-Consolidado'!D29*1.37*0.8</f>
        <v>149030.18919999999</v>
      </c>
      <c r="E29" s="216">
        <f>'CTs-Consolidado'!E29*1.32*0.84</f>
        <v>27099.737280000001</v>
      </c>
      <c r="F29" s="216">
        <f>'CTs-Consolidado'!F29*1.19*0.88</f>
        <v>4869.4800000000005</v>
      </c>
      <c r="G29" s="216">
        <f>'CTs-Consolidado'!G29*1.12*0.92</f>
        <v>7001.2073600000012</v>
      </c>
      <c r="H29" s="216">
        <f>'CTs-Consolidado'!H29*1.12*0.96</f>
        <v>0</v>
      </c>
      <c r="I29" s="216">
        <f>'CTs-Consolidado'!I29</f>
        <v>0</v>
      </c>
      <c r="J29" s="216">
        <f>('PAF-Consolidado'!C29*1.45)+('PAF-Consolidado'!J29*0.76)</f>
        <v>0</v>
      </c>
      <c r="K29" s="216">
        <f>('PAF-Consolidado'!D29*1.37)+('PAF-Consolidado'!K29*0.8)</f>
        <v>6576.0000000000009</v>
      </c>
      <c r="L29" s="216">
        <f>('PAF-Consolidado'!E29*1.32)+('PAF-Consolidado'!L29*0.84)</f>
        <v>176.4</v>
      </c>
      <c r="M29" s="216">
        <f>('PAF-Consolidado'!F29*1.19)+('PAF-Consolidado'!M29*0.88)</f>
        <v>1774.08</v>
      </c>
      <c r="N29" s="216">
        <f>('PAF-Consolidado'!G29*1.12)+('PAF-Consolidado'!N29*0.92)</f>
        <v>0</v>
      </c>
      <c r="O29" s="216">
        <f>('PAF-Consolidado'!H29*1.12)+('PAF-Consolidado'!O29*0.96)</f>
        <v>0</v>
      </c>
      <c r="P29" s="216">
        <f>'PAF-Consolidado'!I29+'PAF-Consolidado'!P29</f>
        <v>0</v>
      </c>
      <c r="Q29" s="230" t="s">
        <v>497</v>
      </c>
      <c r="R29" s="230" t="s">
        <v>497</v>
      </c>
      <c r="S29" s="230" t="s">
        <v>497</v>
      </c>
      <c r="T29" s="230" t="s">
        <v>497</v>
      </c>
      <c r="U29" s="230" t="s">
        <v>498</v>
      </c>
      <c r="V29" s="230" t="s">
        <v>498</v>
      </c>
      <c r="W29" s="230" t="s">
        <v>498</v>
      </c>
      <c r="X29" s="11">
        <f>('TRA-Consolidado'!D29*1.45)*(IF(Q29="SIM",1,0))</f>
        <v>0</v>
      </c>
      <c r="Y29" s="11">
        <f>('TRA-Consolidado'!F29*1.37)*(IF(R29="SIM",1,0))</f>
        <v>0</v>
      </c>
      <c r="Z29" s="11">
        <f>('TRA-Consolidado'!H29*1.32)*(IF(S29="SIM",1,0))</f>
        <v>0</v>
      </c>
      <c r="AA29" s="11">
        <f>('TRA-Consolidado'!J29*1.25*1.19)*(IF(T29="SIM",1,0))</f>
        <v>0</v>
      </c>
      <c r="AB29" s="11">
        <f>('TRA-Consolidado'!L29*1.12)*(IF(U29="SIM",1,0))</f>
        <v>65309.552000000003</v>
      </c>
      <c r="AC29" s="11">
        <f>('TRA-Consolidado'!N29*1.12)*(IF(V29="SIM",1,0))</f>
        <v>70963.200000000012</v>
      </c>
      <c r="AD29" s="11">
        <f>('TRA-Consolidado'!P29)*(IF(W29="SIM",1,0))</f>
        <v>64744</v>
      </c>
    </row>
    <row r="30" spans="2:30" x14ac:dyDescent="0.3">
      <c r="B30" s="9" t="s">
        <v>32</v>
      </c>
      <c r="C30" s="216">
        <f>'CTs-Consolidado'!C30*1.45*0.76</f>
        <v>0</v>
      </c>
      <c r="D30" s="216">
        <f>'CTs-Consolidado'!D30*1.37*0.8</f>
        <v>0</v>
      </c>
      <c r="E30" s="216">
        <f>'CTs-Consolidado'!E30*1.32*0.84</f>
        <v>0</v>
      </c>
      <c r="F30" s="216">
        <f>'CTs-Consolidado'!F30*1.19*0.88</f>
        <v>0</v>
      </c>
      <c r="G30" s="216">
        <f>'CTs-Consolidado'!G30*1.12*0.92</f>
        <v>0</v>
      </c>
      <c r="H30" s="216">
        <f>'CTs-Consolidado'!H30*1.12*0.96</f>
        <v>0</v>
      </c>
      <c r="I30" s="216">
        <f>'CTs-Consolidado'!I30</f>
        <v>0</v>
      </c>
      <c r="J30" s="216">
        <f>('PAF-Consolidado'!C30*1.45)+('PAF-Consolidado'!J30*0.76)</f>
        <v>0</v>
      </c>
      <c r="K30" s="216">
        <f>('PAF-Consolidado'!D30*1.37)+('PAF-Consolidado'!K30*0.8)</f>
        <v>0</v>
      </c>
      <c r="L30" s="216">
        <f>('PAF-Consolidado'!E30*1.32)+('PAF-Consolidado'!L30*0.84)</f>
        <v>0</v>
      </c>
      <c r="M30" s="216">
        <f>('PAF-Consolidado'!F30*1.19)+('PAF-Consolidado'!M30*0.88)</f>
        <v>0</v>
      </c>
      <c r="N30" s="216">
        <f>('PAF-Consolidado'!G30*1.12)+('PAF-Consolidado'!N30*0.92)</f>
        <v>0</v>
      </c>
      <c r="O30" s="216">
        <f>('PAF-Consolidado'!H30*1.12)+('PAF-Consolidado'!O30*0.96)</f>
        <v>0</v>
      </c>
      <c r="P30" s="216">
        <f>'PAF-Consolidado'!I30+'PAF-Consolidado'!P30</f>
        <v>0</v>
      </c>
      <c r="Q30" s="230" t="s">
        <v>497</v>
      </c>
      <c r="R30" s="230" t="s">
        <v>497</v>
      </c>
      <c r="S30" s="230" t="s">
        <v>497</v>
      </c>
      <c r="T30" s="230" t="s">
        <v>497</v>
      </c>
      <c r="U30" s="230" t="s">
        <v>497</v>
      </c>
      <c r="V30" s="230" t="s">
        <v>497</v>
      </c>
      <c r="W30" s="230" t="s">
        <v>497</v>
      </c>
      <c r="X30" s="11">
        <f>('TRA-Consolidado'!D30*1.45)*(IF(Q30="SIM",1,0))</f>
        <v>0</v>
      </c>
      <c r="Y30" s="11">
        <f>('TRA-Consolidado'!F30*1.37)*(IF(R30="SIM",1,0))</f>
        <v>0</v>
      </c>
      <c r="Z30" s="11">
        <f>('TRA-Consolidado'!H30*1.32)*(IF(S30="SIM",1,0))</f>
        <v>0</v>
      </c>
      <c r="AA30" s="11">
        <f>('TRA-Consolidado'!J30*1.25*1.19)*(IF(T30="SIM",1,0))</f>
        <v>0</v>
      </c>
      <c r="AB30" s="11">
        <f>('TRA-Consolidado'!L30*1.12)*(IF(U30="SIM",1,0))</f>
        <v>0</v>
      </c>
      <c r="AC30" s="11">
        <f>('TRA-Consolidado'!N30*1.12)*(IF(V30="SIM",1,0))</f>
        <v>0</v>
      </c>
      <c r="AD30" s="11">
        <f>('TRA-Consolidado'!P30)*(IF(W30="SIM",1,0))</f>
        <v>0</v>
      </c>
    </row>
    <row r="31" spans="2:30" x14ac:dyDescent="0.3"/>
    <row r="32" spans="2:30" x14ac:dyDescent="0.3"/>
    <row r="33" x14ac:dyDescent="0.3"/>
    <row r="34" x14ac:dyDescent="0.3"/>
    <row r="35" x14ac:dyDescent="0.3"/>
  </sheetData>
  <mergeCells count="1">
    <mergeCell ref="A1:AE1"/>
  </mergeCells>
  <conditionalFormatting sqref="Q4:W30">
    <cfRule type="cellIs" dxfId="1" priority="1" operator="equal">
      <formula>"NÃO"</formula>
    </cfRule>
    <cfRule type="cellIs" dxfId="0" priority="2" operator="equal">
      <formula>"SIM"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5884E-0330-4A80-8CF6-B258340F388B}">
  <sheetPr>
    <tabColor theme="3" tint="0.59999389629810485"/>
  </sheetPr>
  <dimension ref="A1:H39"/>
  <sheetViews>
    <sheetView showGridLines="0" workbookViewId="0">
      <selection sqref="A1:H1"/>
    </sheetView>
  </sheetViews>
  <sheetFormatPr defaultColWidth="0" defaultRowHeight="14.4" zeroHeight="1" x14ac:dyDescent="0.3"/>
  <cols>
    <col min="1" max="1" width="17.33203125" bestFit="1" customWidth="1"/>
    <col min="2" max="7" width="17.88671875" bestFit="1" customWidth="1"/>
    <col min="8" max="8" width="12.88671875" bestFit="1" customWidth="1"/>
    <col min="9" max="16384" width="8.88671875" hidden="1"/>
  </cols>
  <sheetData>
    <row r="1" spans="1:8" ht="18" x14ac:dyDescent="0.35">
      <c r="A1" s="245" t="s">
        <v>492</v>
      </c>
      <c r="B1" s="245"/>
      <c r="C1" s="245"/>
      <c r="D1" s="245"/>
      <c r="E1" s="245"/>
      <c r="F1" s="245"/>
      <c r="G1" s="245"/>
      <c r="H1" s="245"/>
    </row>
    <row r="2" spans="1:8" x14ac:dyDescent="0.3"/>
    <row r="3" spans="1:8" x14ac:dyDescent="0.3">
      <c r="A3" s="238" t="s">
        <v>53</v>
      </c>
      <c r="B3" s="2" t="s">
        <v>55</v>
      </c>
      <c r="C3" s="2" t="s">
        <v>56</v>
      </c>
      <c r="D3" s="2" t="s">
        <v>57</v>
      </c>
      <c r="E3" s="2" t="s">
        <v>58</v>
      </c>
      <c r="F3" s="2" t="s">
        <v>59</v>
      </c>
      <c r="G3" s="2" t="s">
        <v>60</v>
      </c>
      <c r="H3" s="239" t="s">
        <v>493</v>
      </c>
    </row>
    <row r="4" spans="1:8" x14ac:dyDescent="0.3">
      <c r="A4" s="236" t="s">
        <v>0</v>
      </c>
      <c r="B4" s="237">
        <v>65</v>
      </c>
      <c r="C4" s="237">
        <v>150</v>
      </c>
      <c r="D4" s="237">
        <v>75</v>
      </c>
      <c r="E4" s="237">
        <v>0</v>
      </c>
      <c r="F4" s="237">
        <v>0</v>
      </c>
      <c r="G4" s="237">
        <v>0</v>
      </c>
      <c r="H4" s="241">
        <f t="shared" ref="H4:H30" si="0">SUM(B4:G4)</f>
        <v>290</v>
      </c>
    </row>
    <row r="5" spans="1:8" x14ac:dyDescent="0.3">
      <c r="A5" s="236" t="s">
        <v>4</v>
      </c>
      <c r="B5" s="237">
        <v>1120</v>
      </c>
      <c r="C5" s="237">
        <v>110</v>
      </c>
      <c r="D5" s="237">
        <v>1300</v>
      </c>
      <c r="E5" s="237">
        <v>1450</v>
      </c>
      <c r="F5" s="237">
        <v>1672</v>
      </c>
      <c r="G5" s="237">
        <v>984</v>
      </c>
      <c r="H5" s="241">
        <f t="shared" si="0"/>
        <v>6636</v>
      </c>
    </row>
    <row r="6" spans="1:8" x14ac:dyDescent="0.3">
      <c r="A6" s="236" t="s">
        <v>6</v>
      </c>
      <c r="B6" s="237">
        <v>4365</v>
      </c>
      <c r="C6" s="237">
        <v>6325</v>
      </c>
      <c r="D6" s="237">
        <v>4805</v>
      </c>
      <c r="E6" s="237">
        <v>5305</v>
      </c>
      <c r="F6" s="237">
        <v>6352.5</v>
      </c>
      <c r="G6" s="237">
        <v>8079</v>
      </c>
      <c r="H6" s="241">
        <f t="shared" si="0"/>
        <v>35231.5</v>
      </c>
    </row>
    <row r="7" spans="1:8" x14ac:dyDescent="0.3">
      <c r="A7" s="236" t="s">
        <v>7</v>
      </c>
      <c r="B7" s="237">
        <v>2755</v>
      </c>
      <c r="C7" s="237">
        <v>3975</v>
      </c>
      <c r="D7" s="237">
        <v>3140</v>
      </c>
      <c r="E7" s="237">
        <v>3830</v>
      </c>
      <c r="F7" s="237">
        <v>2799.5</v>
      </c>
      <c r="G7" s="237">
        <v>3175</v>
      </c>
      <c r="H7" s="241">
        <f t="shared" si="0"/>
        <v>19674.5</v>
      </c>
    </row>
    <row r="8" spans="1:8" x14ac:dyDescent="0.3">
      <c r="A8" s="236" t="s">
        <v>8</v>
      </c>
      <c r="B8" s="237">
        <v>2560</v>
      </c>
      <c r="C8" s="237">
        <v>2605</v>
      </c>
      <c r="D8" s="237">
        <v>1650</v>
      </c>
      <c r="E8" s="237">
        <v>75</v>
      </c>
      <c r="F8" s="237">
        <v>0</v>
      </c>
      <c r="G8" s="237">
        <v>0</v>
      </c>
      <c r="H8" s="241">
        <f t="shared" si="0"/>
        <v>6890</v>
      </c>
    </row>
    <row r="9" spans="1:8" x14ac:dyDescent="0.3">
      <c r="A9" s="236" t="s">
        <v>9</v>
      </c>
      <c r="B9" s="237">
        <v>4130</v>
      </c>
      <c r="C9" s="237">
        <v>4798.5</v>
      </c>
      <c r="D9" s="237">
        <v>5305</v>
      </c>
      <c r="E9" s="237">
        <v>6060</v>
      </c>
      <c r="F9" s="237">
        <v>7694.5</v>
      </c>
      <c r="G9" s="237">
        <v>8306</v>
      </c>
      <c r="H9" s="241">
        <f t="shared" si="0"/>
        <v>36294</v>
      </c>
    </row>
    <row r="10" spans="1:8" x14ac:dyDescent="0.3">
      <c r="A10" s="236" t="s">
        <v>10</v>
      </c>
      <c r="B10" s="237">
        <v>4130</v>
      </c>
      <c r="C10" s="237">
        <v>5676.5</v>
      </c>
      <c r="D10" s="237">
        <v>6405</v>
      </c>
      <c r="E10" s="237">
        <v>8075</v>
      </c>
      <c r="F10" s="237">
        <v>10725</v>
      </c>
      <c r="G10" s="237">
        <v>15042.1</v>
      </c>
      <c r="H10" s="241">
        <f t="shared" si="0"/>
        <v>50053.599999999999</v>
      </c>
    </row>
    <row r="11" spans="1:8" x14ac:dyDescent="0.3">
      <c r="A11" s="236" t="s">
        <v>11</v>
      </c>
      <c r="B11" s="237">
        <v>3190</v>
      </c>
      <c r="C11" s="237">
        <v>93.5</v>
      </c>
      <c r="D11" s="237">
        <v>150</v>
      </c>
      <c r="E11" s="237">
        <v>4940</v>
      </c>
      <c r="F11" s="237">
        <v>5758.5</v>
      </c>
      <c r="G11" s="237">
        <v>5436</v>
      </c>
      <c r="H11" s="241">
        <f t="shared" si="0"/>
        <v>19568</v>
      </c>
    </row>
    <row r="12" spans="1:8" x14ac:dyDescent="0.3">
      <c r="A12" s="236" t="s">
        <v>12</v>
      </c>
      <c r="B12" s="237">
        <v>2225</v>
      </c>
      <c r="C12" s="237">
        <v>1917</v>
      </c>
      <c r="D12" s="237">
        <v>2115</v>
      </c>
      <c r="E12" s="237">
        <v>4030</v>
      </c>
      <c r="F12" s="237">
        <v>3201</v>
      </c>
      <c r="G12" s="237">
        <v>8966.1</v>
      </c>
      <c r="H12" s="241">
        <f t="shared" si="0"/>
        <v>22454.1</v>
      </c>
    </row>
    <row r="13" spans="1:8" x14ac:dyDescent="0.3">
      <c r="A13" s="236" t="s">
        <v>13</v>
      </c>
      <c r="B13" s="237">
        <v>130</v>
      </c>
      <c r="C13" s="237">
        <v>950</v>
      </c>
      <c r="D13" s="237">
        <v>1500</v>
      </c>
      <c r="E13" s="237">
        <v>1750</v>
      </c>
      <c r="F13" s="237">
        <v>3063.5</v>
      </c>
      <c r="G13" s="237">
        <v>5242</v>
      </c>
      <c r="H13" s="241">
        <f t="shared" si="0"/>
        <v>12635.5</v>
      </c>
    </row>
    <row r="14" spans="1:8" x14ac:dyDescent="0.3">
      <c r="A14" s="236" t="s">
        <v>14</v>
      </c>
      <c r="B14" s="237">
        <v>3785</v>
      </c>
      <c r="C14" s="237">
        <v>1630.5</v>
      </c>
      <c r="D14" s="237">
        <v>3030</v>
      </c>
      <c r="E14" s="237">
        <v>1895</v>
      </c>
      <c r="F14" s="237">
        <v>2871</v>
      </c>
      <c r="G14" s="237">
        <v>5090.2</v>
      </c>
      <c r="H14" s="241">
        <f t="shared" si="0"/>
        <v>18301.7</v>
      </c>
    </row>
    <row r="15" spans="1:8" x14ac:dyDescent="0.3">
      <c r="A15" s="236" t="s">
        <v>15</v>
      </c>
      <c r="B15" s="237">
        <v>4615</v>
      </c>
      <c r="C15" s="237">
        <v>3927.5</v>
      </c>
      <c r="D15" s="237">
        <v>2990</v>
      </c>
      <c r="E15" s="237">
        <v>3375</v>
      </c>
      <c r="F15" s="237">
        <v>4125</v>
      </c>
      <c r="G15" s="237">
        <v>3738</v>
      </c>
      <c r="H15" s="241">
        <f t="shared" si="0"/>
        <v>22770.5</v>
      </c>
    </row>
    <row r="16" spans="1:8" x14ac:dyDescent="0.3">
      <c r="A16" s="236" t="s">
        <v>16</v>
      </c>
      <c r="B16" s="237">
        <v>540</v>
      </c>
      <c r="C16" s="237">
        <v>742.5</v>
      </c>
      <c r="D16" s="237">
        <v>1125</v>
      </c>
      <c r="E16" s="237">
        <v>2075</v>
      </c>
      <c r="F16" s="237">
        <v>2068</v>
      </c>
      <c r="G16" s="237">
        <v>2250</v>
      </c>
      <c r="H16" s="241">
        <f t="shared" si="0"/>
        <v>8800.5</v>
      </c>
    </row>
    <row r="17" spans="1:8" x14ac:dyDescent="0.3">
      <c r="A17" s="236" t="s">
        <v>17</v>
      </c>
      <c r="B17" s="237">
        <v>3110</v>
      </c>
      <c r="C17" s="237">
        <v>4550</v>
      </c>
      <c r="D17" s="237">
        <v>4540</v>
      </c>
      <c r="E17" s="237">
        <v>6480</v>
      </c>
      <c r="F17" s="237">
        <v>7898</v>
      </c>
      <c r="G17" s="237">
        <v>6060</v>
      </c>
      <c r="H17" s="241">
        <f t="shared" si="0"/>
        <v>32638</v>
      </c>
    </row>
    <row r="18" spans="1:8" x14ac:dyDescent="0.3">
      <c r="A18" s="236" t="s">
        <v>19</v>
      </c>
      <c r="B18" s="237">
        <v>1135</v>
      </c>
      <c r="C18" s="237">
        <v>890</v>
      </c>
      <c r="D18" s="237">
        <v>300</v>
      </c>
      <c r="E18" s="237">
        <v>100</v>
      </c>
      <c r="F18" s="237">
        <v>0</v>
      </c>
      <c r="G18" s="237">
        <v>0</v>
      </c>
      <c r="H18" s="241">
        <f t="shared" si="0"/>
        <v>2425</v>
      </c>
    </row>
    <row r="19" spans="1:8" x14ac:dyDescent="0.3">
      <c r="A19" s="236" t="s">
        <v>20</v>
      </c>
      <c r="B19" s="237">
        <v>5575</v>
      </c>
      <c r="C19" s="237">
        <v>7435</v>
      </c>
      <c r="D19" s="237">
        <v>9725</v>
      </c>
      <c r="E19" s="237">
        <v>11775</v>
      </c>
      <c r="F19" s="237">
        <v>13607</v>
      </c>
      <c r="G19" s="237">
        <v>14440</v>
      </c>
      <c r="H19" s="241">
        <f t="shared" si="0"/>
        <v>62557</v>
      </c>
    </row>
    <row r="20" spans="1:8" x14ac:dyDescent="0.3">
      <c r="A20" s="236" t="s">
        <v>21</v>
      </c>
      <c r="B20" s="237">
        <v>1125</v>
      </c>
      <c r="C20" s="237">
        <v>2930</v>
      </c>
      <c r="D20" s="237">
        <v>3675</v>
      </c>
      <c r="E20" s="237">
        <v>3610</v>
      </c>
      <c r="F20" s="237">
        <v>3415.5</v>
      </c>
      <c r="G20" s="237">
        <v>3746.1</v>
      </c>
      <c r="H20" s="241">
        <f t="shared" si="0"/>
        <v>18501.599999999999</v>
      </c>
    </row>
    <row r="21" spans="1:8" x14ac:dyDescent="0.3">
      <c r="A21" s="236" t="s">
        <v>23</v>
      </c>
      <c r="B21" s="237">
        <v>23335</v>
      </c>
      <c r="C21" s="237">
        <v>21036</v>
      </c>
      <c r="D21" s="237">
        <v>16745</v>
      </c>
      <c r="E21" s="237">
        <v>32370</v>
      </c>
      <c r="F21" s="237">
        <v>35535.5</v>
      </c>
      <c r="G21" s="237">
        <v>35941.1</v>
      </c>
      <c r="H21" s="241">
        <f t="shared" si="0"/>
        <v>164962.6</v>
      </c>
    </row>
    <row r="22" spans="1:8" x14ac:dyDescent="0.3">
      <c r="A22" s="236" t="s">
        <v>24</v>
      </c>
      <c r="B22" s="237">
        <v>10885</v>
      </c>
      <c r="C22" s="237">
        <v>13297.5</v>
      </c>
      <c r="D22" s="237">
        <v>9520</v>
      </c>
      <c r="E22" s="237">
        <v>10175</v>
      </c>
      <c r="F22" s="237">
        <v>10155.1</v>
      </c>
      <c r="G22" s="237">
        <v>13658</v>
      </c>
      <c r="H22" s="241">
        <f t="shared" si="0"/>
        <v>67690.600000000006</v>
      </c>
    </row>
    <row r="23" spans="1:8" x14ac:dyDescent="0.3">
      <c r="A23" s="236" t="s">
        <v>25</v>
      </c>
      <c r="B23" s="237">
        <v>515</v>
      </c>
      <c r="C23" s="237">
        <v>375</v>
      </c>
      <c r="D23" s="237">
        <v>225</v>
      </c>
      <c r="E23" s="237">
        <v>3895</v>
      </c>
      <c r="F23" s="237">
        <v>8030</v>
      </c>
      <c r="G23" s="237">
        <v>6728.1</v>
      </c>
      <c r="H23" s="241">
        <f t="shared" si="0"/>
        <v>19768.099999999999</v>
      </c>
    </row>
    <row r="24" spans="1:8" x14ac:dyDescent="0.3">
      <c r="A24" s="236" t="s">
        <v>26</v>
      </c>
      <c r="B24" s="237">
        <v>310</v>
      </c>
      <c r="C24" s="237">
        <v>510</v>
      </c>
      <c r="D24" s="237">
        <v>75</v>
      </c>
      <c r="E24" s="237">
        <v>175</v>
      </c>
      <c r="F24" s="237">
        <v>1485</v>
      </c>
      <c r="G24" s="237">
        <v>0</v>
      </c>
      <c r="H24" s="241">
        <f t="shared" si="0"/>
        <v>2555</v>
      </c>
    </row>
    <row r="25" spans="1:8" x14ac:dyDescent="0.3">
      <c r="A25" s="236" t="s">
        <v>27</v>
      </c>
      <c r="B25" s="237">
        <v>0</v>
      </c>
      <c r="C25" s="237">
        <v>0</v>
      </c>
      <c r="D25" s="237">
        <v>0</v>
      </c>
      <c r="E25" s="237">
        <v>0</v>
      </c>
      <c r="F25" s="237">
        <v>0</v>
      </c>
      <c r="G25" s="237">
        <v>0</v>
      </c>
      <c r="H25" s="241">
        <f t="shared" si="0"/>
        <v>0</v>
      </c>
    </row>
    <row r="26" spans="1:8" x14ac:dyDescent="0.3">
      <c r="A26" s="236" t="s">
        <v>28</v>
      </c>
      <c r="B26" s="237">
        <v>2895</v>
      </c>
      <c r="C26" s="237">
        <v>3057</v>
      </c>
      <c r="D26" s="237">
        <v>4660</v>
      </c>
      <c r="E26" s="237">
        <v>6870</v>
      </c>
      <c r="F26" s="237">
        <v>8305</v>
      </c>
      <c r="G26" s="237">
        <v>9734.1</v>
      </c>
      <c r="H26" s="241">
        <f t="shared" si="0"/>
        <v>35521.1</v>
      </c>
    </row>
    <row r="27" spans="1:8" x14ac:dyDescent="0.3">
      <c r="A27" s="236" t="s">
        <v>29</v>
      </c>
      <c r="B27" s="237">
        <v>19950</v>
      </c>
      <c r="C27" s="237">
        <v>23781</v>
      </c>
      <c r="D27" s="237">
        <v>25195</v>
      </c>
      <c r="E27" s="237">
        <v>31265</v>
      </c>
      <c r="F27" s="237">
        <v>35222</v>
      </c>
      <c r="G27" s="237">
        <v>35222</v>
      </c>
      <c r="H27" s="241">
        <f t="shared" si="0"/>
        <v>170635</v>
      </c>
    </row>
    <row r="28" spans="1:8" x14ac:dyDescent="0.3">
      <c r="A28" s="236" t="s">
        <v>30</v>
      </c>
      <c r="B28" s="237">
        <v>2925</v>
      </c>
      <c r="C28" s="237">
        <v>3515</v>
      </c>
      <c r="D28" s="237">
        <v>2435</v>
      </c>
      <c r="E28" s="237">
        <v>3475</v>
      </c>
      <c r="F28" s="237">
        <v>2953.5</v>
      </c>
      <c r="G28" s="237">
        <v>1704</v>
      </c>
      <c r="H28" s="241">
        <f t="shared" si="0"/>
        <v>17007.5</v>
      </c>
    </row>
    <row r="29" spans="1:8" x14ac:dyDescent="0.3">
      <c r="A29" s="236" t="s">
        <v>31</v>
      </c>
      <c r="B29" s="237">
        <v>86420</v>
      </c>
      <c r="C29" s="237">
        <v>72476.05</v>
      </c>
      <c r="D29" s="237">
        <v>59215</v>
      </c>
      <c r="E29" s="237">
        <v>58312.1</v>
      </c>
      <c r="F29" s="237">
        <v>63360</v>
      </c>
      <c r="G29" s="237">
        <v>64744</v>
      </c>
      <c r="H29" s="241">
        <f t="shared" si="0"/>
        <v>404527.14999999997</v>
      </c>
    </row>
    <row r="30" spans="1:8" x14ac:dyDescent="0.3">
      <c r="A30" s="236" t="s">
        <v>32</v>
      </c>
      <c r="B30" s="237">
        <v>0</v>
      </c>
      <c r="C30" s="237">
        <v>75</v>
      </c>
      <c r="D30" s="237">
        <v>0</v>
      </c>
      <c r="E30" s="237">
        <v>0</v>
      </c>
      <c r="F30" s="237">
        <v>0</v>
      </c>
      <c r="G30" s="237">
        <v>0</v>
      </c>
      <c r="H30" s="241">
        <f t="shared" si="0"/>
        <v>75</v>
      </c>
    </row>
    <row r="31" spans="1:8" x14ac:dyDescent="0.3">
      <c r="A31" s="236" t="s">
        <v>54</v>
      </c>
      <c r="B31" s="237">
        <v>191790</v>
      </c>
      <c r="C31" s="237">
        <v>186828.55</v>
      </c>
      <c r="D31" s="237">
        <v>169900</v>
      </c>
      <c r="E31" s="237">
        <v>211362.1</v>
      </c>
      <c r="F31" s="237">
        <v>240297.1</v>
      </c>
      <c r="G31" s="237">
        <v>258285.80000000002</v>
      </c>
      <c r="H31" s="240">
        <f>SUM(H4:H30)</f>
        <v>1258463.5499999998</v>
      </c>
    </row>
    <row r="32" spans="1:8" x14ac:dyDescent="0.3"/>
    <row r="33" x14ac:dyDescent="0.3"/>
    <row r="34" x14ac:dyDescent="0.3"/>
    <row r="35" x14ac:dyDescent="0.3"/>
    <row r="36" hidden="1" x14ac:dyDescent="0.3"/>
    <row r="37" hidden="1" x14ac:dyDescent="0.3"/>
    <row r="38" hidden="1" x14ac:dyDescent="0.3"/>
    <row r="39" hidden="1" x14ac:dyDescent="0.3"/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8F90F-81FB-4A46-8AF8-0B46024C2F91}">
  <sheetPr>
    <tabColor theme="3" tint="0.59999389629810485"/>
  </sheetPr>
  <dimension ref="A1:Q35"/>
  <sheetViews>
    <sheetView showGridLines="0" workbookViewId="0">
      <selection activeCell="C5" sqref="C5"/>
    </sheetView>
  </sheetViews>
  <sheetFormatPr defaultColWidth="0" defaultRowHeight="14.4" zeroHeight="1" x14ac:dyDescent="0.3"/>
  <cols>
    <col min="1" max="1" width="2.6640625" customWidth="1"/>
    <col min="2" max="2" width="9.6640625" bestFit="1" customWidth="1"/>
    <col min="3" max="16" width="12.6640625" customWidth="1"/>
    <col min="17" max="17" width="2.6640625" customWidth="1"/>
    <col min="18" max="16384" width="8.88671875" hidden="1"/>
  </cols>
  <sheetData>
    <row r="1" spans="1:17" ht="18" x14ac:dyDescent="0.35">
      <c r="A1" s="245" t="s">
        <v>237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</row>
    <row r="2" spans="1:17" x14ac:dyDescent="0.3"/>
    <row r="3" spans="1:17" x14ac:dyDescent="0.3">
      <c r="B3" s="13" t="s">
        <v>52</v>
      </c>
      <c r="C3" s="6" t="s">
        <v>38</v>
      </c>
      <c r="D3" s="10" t="s">
        <v>39</v>
      </c>
      <c r="E3" s="6" t="s">
        <v>40</v>
      </c>
      <c r="F3" s="10" t="s">
        <v>41</v>
      </c>
      <c r="G3" s="6" t="s">
        <v>42</v>
      </c>
      <c r="H3" s="10" t="s">
        <v>43</v>
      </c>
      <c r="I3" s="6" t="s">
        <v>44</v>
      </c>
      <c r="J3" s="10" t="s">
        <v>45</v>
      </c>
      <c r="K3" s="6" t="s">
        <v>46</v>
      </c>
      <c r="L3" s="10" t="s">
        <v>47</v>
      </c>
      <c r="M3" s="6" t="s">
        <v>48</v>
      </c>
      <c r="N3" s="10" t="s">
        <v>49</v>
      </c>
      <c r="O3" s="6" t="s">
        <v>50</v>
      </c>
      <c r="P3" s="10" t="s">
        <v>51</v>
      </c>
    </row>
    <row r="4" spans="1:17" x14ac:dyDescent="0.3">
      <c r="B4" s="9" t="s">
        <v>0</v>
      </c>
      <c r="C4" s="12">
        <f>SUM(TRA.13!$B$4:$F$4)</f>
        <v>0</v>
      </c>
      <c r="D4" s="11">
        <f>SUM(TRA.13!$B$5:$F$5)</f>
        <v>0</v>
      </c>
      <c r="E4" s="12">
        <f>SUM(TRA.14!$B$4:$F$4)</f>
        <v>1</v>
      </c>
      <c r="F4" s="11">
        <f>SUM(TRA.14!$B$5:$F$5)</f>
        <v>65</v>
      </c>
      <c r="G4" s="12">
        <f>SUM(TRA.15!$B$4:$F$4)</f>
        <v>2</v>
      </c>
      <c r="H4" s="11">
        <f>SUM(TRA.15!$B$5:$F$5)</f>
        <v>150</v>
      </c>
      <c r="I4" s="12">
        <f>SUM(TRA.16!$B$4:$F$4)</f>
        <v>1</v>
      </c>
      <c r="J4" s="11">
        <f>SUM(TRA.16!$B$5:$F$5)</f>
        <v>75</v>
      </c>
      <c r="K4" s="12">
        <f>SUM(TRA.17!$B$4:$F$4)</f>
        <v>0</v>
      </c>
      <c r="L4" s="11">
        <f>SUM(TRA.17!$B$5:$F$5)</f>
        <v>0</v>
      </c>
      <c r="M4" s="12">
        <f>SUM(TRA.18!$B$4:$F$4)</f>
        <v>0</v>
      </c>
      <c r="N4" s="11">
        <f>SUM(TRA.18!$B$5:$F$5)</f>
        <v>0</v>
      </c>
      <c r="O4" s="12">
        <f>SUM(TRA.19!$B$4:$F$4)</f>
        <v>0</v>
      </c>
      <c r="P4" s="11">
        <f>SUM(TRA.19!$B$5:$F$5)</f>
        <v>0</v>
      </c>
    </row>
    <row r="5" spans="1:17" x14ac:dyDescent="0.3">
      <c r="B5" s="9" t="s">
        <v>4</v>
      </c>
      <c r="C5" s="12">
        <f>SUM(TRA.13!$B$6:$F$6)</f>
        <v>21</v>
      </c>
      <c r="D5" s="11">
        <f>SUM(TRA.13!$B$7:$F$7)</f>
        <v>1060</v>
      </c>
      <c r="E5" s="12">
        <f>SUM(TRA.14!$B$6:$F$6)</f>
        <v>18</v>
      </c>
      <c r="F5" s="11">
        <f>SUM(TRA.14!$B$7:$F$7)</f>
        <v>1120</v>
      </c>
      <c r="G5" s="12">
        <f>SUM(TRA.15!$B$6:$F$6)</f>
        <v>15</v>
      </c>
      <c r="H5" s="11">
        <f>SUM(TRA.15!$B$7:$F$7)</f>
        <v>110</v>
      </c>
      <c r="I5" s="12">
        <f>SUM(TRA.16!$B$6:$F$6)</f>
        <v>19</v>
      </c>
      <c r="J5" s="11">
        <f>SUM(TRA.16!$B$7:$F$7)</f>
        <v>1300</v>
      </c>
      <c r="K5" s="12">
        <f>SUM(TRA.17!$B$6:$F$6)</f>
        <v>18</v>
      </c>
      <c r="L5" s="11">
        <f>SUM(TRA.17!$B$7:$F$7)</f>
        <v>1450</v>
      </c>
      <c r="M5" s="12">
        <f>SUM(TRA.18!$B$6:$F$6)</f>
        <v>17</v>
      </c>
      <c r="N5" s="11">
        <f>SUM(TRA.18!$B$7:$F$7)</f>
        <v>1672</v>
      </c>
      <c r="O5" s="12">
        <f>SUM(TRA.19!$B$6:$F$6)</f>
        <v>10</v>
      </c>
      <c r="P5" s="11">
        <f>SUM(TRA.19!$B$7:$F$7)</f>
        <v>984</v>
      </c>
    </row>
    <row r="6" spans="1:17" x14ac:dyDescent="0.3">
      <c r="B6" s="9" t="s">
        <v>6</v>
      </c>
      <c r="C6" s="12">
        <f>SUM(TRA.13!$B$8:$F$8)</f>
        <v>81</v>
      </c>
      <c r="D6" s="11">
        <f>SUM(TRA.13!$B$9:$F$9)</f>
        <v>4335</v>
      </c>
      <c r="E6" s="12">
        <f>SUM(TRA.14!$B$8:$F$8)</f>
        <v>79</v>
      </c>
      <c r="F6" s="11">
        <f>SUM(TRA.14!$B$9:$F$9)</f>
        <v>4365</v>
      </c>
      <c r="G6" s="12">
        <f>SUM(TRA.15!$B$8:$F$8)</f>
        <v>97</v>
      </c>
      <c r="H6" s="11">
        <f>SUM(TRA.15!$B$9:$F$9)</f>
        <v>6325</v>
      </c>
      <c r="I6" s="12">
        <f>SUM(TRA.16!$B$8:$F$8)</f>
        <v>67</v>
      </c>
      <c r="J6" s="11">
        <f>SUM(TRA.16!$B$9:$F$9)</f>
        <v>4805</v>
      </c>
      <c r="K6" s="12">
        <f>SUM(TRA.17!$B$8:$F$8)</f>
        <v>63</v>
      </c>
      <c r="L6" s="11">
        <f>SUM(TRA.17!$B$9:$F$9)</f>
        <v>5305</v>
      </c>
      <c r="M6" s="12">
        <f>SUM(TRA.18!$B$8:$F$8)</f>
        <v>68</v>
      </c>
      <c r="N6" s="11">
        <f>SUM(TRA.18!$B$9:$F$9)</f>
        <v>6352.5</v>
      </c>
      <c r="O6" s="12">
        <f>SUM(TRA.19!$B$8:$F$8)</f>
        <v>85</v>
      </c>
      <c r="P6" s="11">
        <f>SUM(TRA.19!$B$9:$F$9)</f>
        <v>8079</v>
      </c>
    </row>
    <row r="7" spans="1:17" x14ac:dyDescent="0.3">
      <c r="B7" s="9" t="s">
        <v>7</v>
      </c>
      <c r="C7" s="12">
        <f>SUM(TRA.13!$B$10:$F$10)</f>
        <v>49</v>
      </c>
      <c r="D7" s="11">
        <f>SUM(TRA.13!$B$11:$F$11)</f>
        <v>2575</v>
      </c>
      <c r="E7" s="12">
        <f>SUM(TRA.14!$B$10:$F$10)</f>
        <v>46</v>
      </c>
      <c r="F7" s="11">
        <f>SUM(TRA.14!$B$11:$F$11)</f>
        <v>2755</v>
      </c>
      <c r="G7" s="12">
        <f>SUM(TRA.15!$B$10:$F$10)</f>
        <v>57</v>
      </c>
      <c r="H7" s="11">
        <f>SUM(TRA.15!$B$11:$F$11)</f>
        <v>3975</v>
      </c>
      <c r="I7" s="12">
        <f>SUM(TRA.16!$B$10:$F$10)</f>
        <v>38</v>
      </c>
      <c r="J7" s="11">
        <f>SUM(TRA.16!$B$11:$F$11)</f>
        <v>3140</v>
      </c>
      <c r="K7" s="12">
        <f>SUM(TRA.17!$B$10:$F$10)</f>
        <v>43</v>
      </c>
      <c r="L7" s="11">
        <f>SUM(TRA.17!$B$11:$F$11)</f>
        <v>3830</v>
      </c>
      <c r="M7" s="12">
        <f>SUM(TRA.18!$B$10:$F$10)</f>
        <v>32</v>
      </c>
      <c r="N7" s="11">
        <f>SUM(TRA.18!$B$11:$F$11)</f>
        <v>2799.5</v>
      </c>
      <c r="O7" s="12">
        <f>SUM(TRA.19!$B$10:$F$10)</f>
        <v>28</v>
      </c>
      <c r="P7" s="11">
        <f>SUM(TRA.19!$B$11:$F$11)</f>
        <v>3175</v>
      </c>
    </row>
    <row r="8" spans="1:17" x14ac:dyDescent="0.3">
      <c r="B8" s="9" t="s">
        <v>8</v>
      </c>
      <c r="C8" s="12">
        <f>SUM(TRA.13!$B$12:$F$12)</f>
        <v>37</v>
      </c>
      <c r="D8" s="11">
        <f>SUM(TRA.13!$B$13:$F$13)</f>
        <v>1960</v>
      </c>
      <c r="E8" s="12">
        <f>SUM(TRA.14!$B$12:$F$12)</f>
        <v>40</v>
      </c>
      <c r="F8" s="11">
        <f>SUM(TRA.14!$B$13:$F$13)</f>
        <v>2560</v>
      </c>
      <c r="G8" s="12">
        <f>SUM(TRA.15!$B$12:$F$12)</f>
        <v>46</v>
      </c>
      <c r="H8" s="11">
        <f>SUM(TRA.15!$B$13:$F$13)</f>
        <v>2605</v>
      </c>
      <c r="I8" s="12">
        <f>SUM(TRA.16!$B$12:$F$12)</f>
        <v>22</v>
      </c>
      <c r="J8" s="11">
        <f>SUM(TRA.16!$B$13:$F$13)</f>
        <v>1650</v>
      </c>
      <c r="K8" s="12">
        <f>SUM(TRA.17!$B$12:$F$12)</f>
        <v>1</v>
      </c>
      <c r="L8" s="11">
        <f>SUM(TRA.17!$B$13:$F$13)</f>
        <v>75</v>
      </c>
      <c r="M8" s="12">
        <f>SUM(TRA.18!$B$12:$F$12)</f>
        <v>0</v>
      </c>
      <c r="N8" s="11">
        <f>SUM(TRA.18!$B$13:$F$13)</f>
        <v>0</v>
      </c>
      <c r="O8" s="12">
        <f>SUM(TRA.19!$B$12:$F$12)</f>
        <v>0</v>
      </c>
      <c r="P8" s="11">
        <f>SUM(TRA.19!$B$13:$F$13)</f>
        <v>0</v>
      </c>
    </row>
    <row r="9" spans="1:17" x14ac:dyDescent="0.3">
      <c r="B9" s="9" t="s">
        <v>9</v>
      </c>
      <c r="C9" s="12">
        <f>SUM(TRA.13!$B$14:$F$14)</f>
        <v>64</v>
      </c>
      <c r="D9" s="11">
        <f>SUM(TRA.13!$B$15:$F$15)</f>
        <v>3160</v>
      </c>
      <c r="E9" s="12">
        <f>SUM(TRA.14!$B$14:$F$14)</f>
        <v>71</v>
      </c>
      <c r="F9" s="11">
        <f>SUM(TRA.14!$B$15:$F$15)</f>
        <v>4130</v>
      </c>
      <c r="G9" s="12">
        <f>SUM(TRA.15!$B$14:$F$14)</f>
        <v>71</v>
      </c>
      <c r="H9" s="11">
        <f>SUM(TRA.15!$B$15:$F$15)</f>
        <v>4798.5</v>
      </c>
      <c r="I9" s="12">
        <f>SUM(TRA.16!$B$14:$F$14)</f>
        <v>74</v>
      </c>
      <c r="J9" s="11">
        <f>SUM(TRA.16!$B$15:$F$15)</f>
        <v>5305</v>
      </c>
      <c r="K9" s="12">
        <f>SUM(TRA.17!$B$14:$F$14)</f>
        <v>69</v>
      </c>
      <c r="L9" s="11">
        <f>SUM(TRA.17!$B$15:$F$15)</f>
        <v>6060</v>
      </c>
      <c r="M9" s="12">
        <f>SUM(TRA.18!$B$14:$F$14)</f>
        <v>77</v>
      </c>
      <c r="N9" s="11">
        <f>SUM(TRA.18!$B$15:$F$15)</f>
        <v>7694.5</v>
      </c>
      <c r="O9" s="12">
        <f>SUM(TRA.19!$B$14:$F$14)</f>
        <v>84</v>
      </c>
      <c r="P9" s="11">
        <f>SUM(TRA.19!$B$15:$F$15)</f>
        <v>8306</v>
      </c>
    </row>
    <row r="10" spans="1:17" x14ac:dyDescent="0.3">
      <c r="B10" s="9" t="s">
        <v>10</v>
      </c>
      <c r="C10" s="12">
        <f>SUM(TRA.13!$B$16:$F$16)</f>
        <v>73</v>
      </c>
      <c r="D10" s="11">
        <f>SUM(TRA.13!$B$17:$F$17)</f>
        <v>3510</v>
      </c>
      <c r="E10" s="12">
        <f>SUM(TRA.14!$B$16:$F$16)</f>
        <v>71</v>
      </c>
      <c r="F10" s="11">
        <f>SUM(TRA.14!$B$17:$F$17)</f>
        <v>4130</v>
      </c>
      <c r="G10" s="12">
        <f>SUM(TRA.15!$B$16:$F$16)</f>
        <v>85</v>
      </c>
      <c r="H10" s="11">
        <f>SUM(TRA.15!$B$17:$F$17)</f>
        <v>5676.5</v>
      </c>
      <c r="I10" s="12">
        <f>SUM(TRA.16!$B$16:$F$16)</f>
        <v>89</v>
      </c>
      <c r="J10" s="11">
        <f>SUM(TRA.16!$B$17:$F$17)</f>
        <v>6405</v>
      </c>
      <c r="K10" s="12">
        <f>SUM(TRA.17!$B$16:$F$16)</f>
        <v>91</v>
      </c>
      <c r="L10" s="11">
        <f>SUM(TRA.17!$B$17:$F$17)</f>
        <v>8075</v>
      </c>
      <c r="M10" s="12">
        <f>SUM(TRA.18!$B$16:$F$16)</f>
        <v>112</v>
      </c>
      <c r="N10" s="11">
        <f>SUM(TRA.18!$B$17:$F$17)</f>
        <v>10725</v>
      </c>
      <c r="O10" s="12">
        <f>SUM(TRA.19!$B$16:$F$16)</f>
        <v>150</v>
      </c>
      <c r="P10" s="11">
        <f>SUM(TRA.19!$B$17:$F$17)</f>
        <v>15042.1</v>
      </c>
    </row>
    <row r="11" spans="1:17" x14ac:dyDescent="0.3">
      <c r="B11" s="9" t="s">
        <v>11</v>
      </c>
      <c r="C11" s="12">
        <f>SUM(TRA.13!$B$18:$F$18)</f>
        <v>60</v>
      </c>
      <c r="D11" s="11">
        <f>SUM(TRA.13!$B$19:$F$19)</f>
        <v>2825</v>
      </c>
      <c r="E11" s="12">
        <f>SUM(TRA.14!$B$18:$F$18)</f>
        <v>60</v>
      </c>
      <c r="F11" s="11">
        <f>SUM(TRA.14!$B$19:$F$19)</f>
        <v>3190</v>
      </c>
      <c r="G11" s="12">
        <f>SUM(TRA.15!$B$18:$F$18)</f>
        <v>2</v>
      </c>
      <c r="H11" s="11">
        <f>SUM(TRA.15!$B$19:$F$19)</f>
        <v>93.5</v>
      </c>
      <c r="I11" s="12">
        <f>SUM(TRA.16!$B$18:$F$18)</f>
        <v>2</v>
      </c>
      <c r="J11" s="11">
        <f>SUM(TRA.16!$B$19:$F$19)</f>
        <v>150</v>
      </c>
      <c r="K11" s="12">
        <f>SUM(TRA.17!$B$18:$F$18)</f>
        <v>59</v>
      </c>
      <c r="L11" s="11">
        <f>SUM(TRA.17!$B$19:$F$19)</f>
        <v>4940</v>
      </c>
      <c r="M11" s="12">
        <f>SUM(TRA.18!$B$18:$F$18)</f>
        <v>63</v>
      </c>
      <c r="N11" s="11">
        <f>SUM(TRA.18!$B$19:$F$19)</f>
        <v>5758.5</v>
      </c>
      <c r="O11" s="12">
        <f>SUM(TRA.19!$B$18:$F$18)</f>
        <v>54</v>
      </c>
      <c r="P11" s="11">
        <f>SUM(TRA.19!$B$19:$F$19)</f>
        <v>5436</v>
      </c>
    </row>
    <row r="12" spans="1:17" x14ac:dyDescent="0.3">
      <c r="B12" s="9" t="s">
        <v>12</v>
      </c>
      <c r="C12" s="12">
        <f>SUM(TRA.13!$B$20:$F$20)</f>
        <v>56</v>
      </c>
      <c r="D12" s="11">
        <f>SUM(TRA.13!$B$21:$F$21)</f>
        <v>2749</v>
      </c>
      <c r="E12" s="12">
        <f>SUM(TRA.14!$B$20:$F$20)</f>
        <v>40</v>
      </c>
      <c r="F12" s="11">
        <f>SUM(TRA.14!$B$21:$F$21)</f>
        <v>2225</v>
      </c>
      <c r="G12" s="12">
        <f>SUM(TRA.15!$B$20:$F$20)</f>
        <v>31</v>
      </c>
      <c r="H12" s="11">
        <f>SUM(TRA.15!$B$21:$F$21)</f>
        <v>1917</v>
      </c>
      <c r="I12" s="12">
        <f>SUM(TRA.16!$B$20:$F$20)</f>
        <v>29</v>
      </c>
      <c r="J12" s="11">
        <f>SUM(TRA.16!$B$21:$F$21)</f>
        <v>2115</v>
      </c>
      <c r="K12" s="12">
        <f>SUM(TRA.17!$B$20:$F$20)</f>
        <v>44</v>
      </c>
      <c r="L12" s="11">
        <f>SUM(TRA.17!$B$21:$F$21)</f>
        <v>4030</v>
      </c>
      <c r="M12" s="12">
        <f>SUM(TRA.18!$B$20:$F$20)</f>
        <v>36</v>
      </c>
      <c r="N12" s="11">
        <f>SUM(TRA.18!$B$21:$F$21)</f>
        <v>3201</v>
      </c>
      <c r="O12" s="12">
        <f>SUM(TRA.19!$B$20:$F$20)</f>
        <v>91</v>
      </c>
      <c r="P12" s="11">
        <f>SUM(TRA.19!$B$21:$F$21)</f>
        <v>8966.1</v>
      </c>
    </row>
    <row r="13" spans="1:17" x14ac:dyDescent="0.3">
      <c r="B13" s="9" t="s">
        <v>13</v>
      </c>
      <c r="C13" s="12">
        <f>SUM(TRA.13!$B$22:$F$22)</f>
        <v>1</v>
      </c>
      <c r="D13" s="11">
        <f>SUM(TRA.13!$B$23:$F$23)</f>
        <v>55</v>
      </c>
      <c r="E13" s="12">
        <f>SUM(TRA.14!$B$22:$F$22)</f>
        <v>2</v>
      </c>
      <c r="F13" s="11">
        <f>SUM(TRA.14!$B$23:$F$23)</f>
        <v>130</v>
      </c>
      <c r="G13" s="12">
        <f>SUM(TRA.15!$B$22:$F$22)</f>
        <v>15</v>
      </c>
      <c r="H13" s="11">
        <f>SUM(TRA.15!$B$23:$F$23)</f>
        <v>950</v>
      </c>
      <c r="I13" s="12">
        <f>SUM(TRA.16!$B$22:$F$22)</f>
        <v>20</v>
      </c>
      <c r="J13" s="11">
        <f>SUM(TRA.16!$B$23:$F$23)</f>
        <v>1500</v>
      </c>
      <c r="K13" s="12">
        <f>SUM(TRA.17!$B$22:$F$22)</f>
        <v>18</v>
      </c>
      <c r="L13" s="11">
        <f>SUM(TRA.17!$B$23:$F$23)</f>
        <v>1750</v>
      </c>
      <c r="M13" s="12">
        <f>SUM(TRA.18!$B$22:$F$22)</f>
        <v>32</v>
      </c>
      <c r="N13" s="11">
        <f>SUM(TRA.18!$B$23:$F$23)</f>
        <v>3063.5</v>
      </c>
      <c r="O13" s="12">
        <f>SUM(TRA.19!$B$22:$F$22)</f>
        <v>51</v>
      </c>
      <c r="P13" s="11">
        <f>SUM(TRA.19!$B$23:$F$23)</f>
        <v>5242</v>
      </c>
    </row>
    <row r="14" spans="1:17" x14ac:dyDescent="0.3">
      <c r="B14" s="9" t="s">
        <v>14</v>
      </c>
      <c r="C14" s="12">
        <f>SUM(TRA.13!$B$24:$F$24)</f>
        <v>55</v>
      </c>
      <c r="D14" s="11">
        <f>SUM(TRA.13!$B$25:$F$25)</f>
        <v>2705</v>
      </c>
      <c r="E14" s="12">
        <f>SUM(TRA.14!$B$24:$F$24)</f>
        <v>65</v>
      </c>
      <c r="F14" s="11">
        <f>SUM(TRA.14!$B$25:$F$25)</f>
        <v>3785</v>
      </c>
      <c r="G14" s="12">
        <f>SUM(TRA.15!$B$24:$F$24)</f>
        <v>28</v>
      </c>
      <c r="H14" s="11">
        <f>SUM(TRA.15!$B$25:$F$25)</f>
        <v>1630.5</v>
      </c>
      <c r="I14" s="12">
        <f>SUM(TRA.16!$B$24:$F$24)</f>
        <v>40</v>
      </c>
      <c r="J14" s="11">
        <f>SUM(TRA.16!$B$25:$F$25)</f>
        <v>3030</v>
      </c>
      <c r="K14" s="12">
        <f>SUM(TRA.17!$B$24:$F$24)</f>
        <v>22</v>
      </c>
      <c r="L14" s="11">
        <f>SUM(TRA.17!$B$25:$F$25)</f>
        <v>1895</v>
      </c>
      <c r="M14" s="12">
        <f>SUM(TRA.18!$B$24:$F$24)</f>
        <v>34</v>
      </c>
      <c r="N14" s="11">
        <f>SUM(TRA.18!$B$25:$F$25)</f>
        <v>2871</v>
      </c>
      <c r="O14" s="12">
        <f>SUM(TRA.19!$B$24:$F$24)</f>
        <v>50</v>
      </c>
      <c r="P14" s="11">
        <f>SUM(TRA.19!$B$25:$F$25)</f>
        <v>5090.2</v>
      </c>
    </row>
    <row r="15" spans="1:17" x14ac:dyDescent="0.3">
      <c r="B15" s="9" t="s">
        <v>15</v>
      </c>
      <c r="C15" s="12">
        <f>SUM(TRA.13!$B$26:$F$26)</f>
        <v>61</v>
      </c>
      <c r="D15" s="11">
        <f>SUM(TRA.13!$B$27:$F$27)</f>
        <v>2695</v>
      </c>
      <c r="E15" s="12">
        <f>SUM(TRA.14!$B$26:$F$26)</f>
        <v>79</v>
      </c>
      <c r="F15" s="11">
        <f>SUM(TRA.14!$B$27:$F$27)</f>
        <v>4615</v>
      </c>
      <c r="G15" s="12">
        <f>SUM(TRA.15!$B$26:$F$26)</f>
        <v>93</v>
      </c>
      <c r="H15" s="11">
        <f>SUM(TRA.15!$B$27:$F$27)</f>
        <v>3927.5</v>
      </c>
      <c r="I15" s="12">
        <f>SUM(TRA.16!$B$26:$F$26)</f>
        <v>36</v>
      </c>
      <c r="J15" s="11">
        <f>SUM(TRA.16!$B$27:$F$27)</f>
        <v>2990</v>
      </c>
      <c r="K15" s="12">
        <f>SUM(TRA.17!$B$26:$F$26)</f>
        <v>35</v>
      </c>
      <c r="L15" s="11">
        <f>SUM(TRA.17!$B$27:$F$27)</f>
        <v>3375</v>
      </c>
      <c r="M15" s="12">
        <f>SUM(TRA.18!$B$26:$F$26)</f>
        <v>47</v>
      </c>
      <c r="N15" s="11">
        <f>SUM(TRA.18!$B$27:$F$27)</f>
        <v>4125</v>
      </c>
      <c r="O15" s="12">
        <f>SUM(TRA.19!$B$26:$F$26)</f>
        <v>37</v>
      </c>
      <c r="P15" s="11">
        <f>SUM(TRA.19!$B$27:$F$27)</f>
        <v>3738</v>
      </c>
    </row>
    <row r="16" spans="1:17" x14ac:dyDescent="0.3">
      <c r="B16" s="9" t="s">
        <v>16</v>
      </c>
      <c r="C16" s="12">
        <f>SUM(TRA.13!$B$28:$F$28)</f>
        <v>3</v>
      </c>
      <c r="D16" s="11">
        <f>SUM(TRA.13!$B$29:$F$29)</f>
        <v>135</v>
      </c>
      <c r="E16" s="12">
        <f>SUM(TRA.14!$B$28:$F$28)</f>
        <v>10</v>
      </c>
      <c r="F16" s="11">
        <f>SUM(TRA.14!$B$29:$F$29)</f>
        <v>540</v>
      </c>
      <c r="G16" s="12">
        <f>SUM(TRA.15!$B$28:$F$28)</f>
        <v>15</v>
      </c>
      <c r="H16" s="11">
        <f>SUM(TRA.15!$B$29:$F$29)</f>
        <v>742.5</v>
      </c>
      <c r="I16" s="12">
        <f>SUM(TRA.16!$B$28:$F$28)</f>
        <v>15</v>
      </c>
      <c r="J16" s="11">
        <f>SUM(TRA.16!$B$29:$F$29)</f>
        <v>1125</v>
      </c>
      <c r="K16" s="12">
        <f>SUM(TRA.17!$B$28:$F$28)</f>
        <v>21</v>
      </c>
      <c r="L16" s="11">
        <f>SUM(TRA.17!$B$29:$F$29)</f>
        <v>2075</v>
      </c>
      <c r="M16" s="12">
        <f>SUM(TRA.18!$B$28:$F$28)</f>
        <v>23</v>
      </c>
      <c r="N16" s="11">
        <f>SUM(TRA.18!$B$29:$F$29)</f>
        <v>2068</v>
      </c>
      <c r="O16" s="12">
        <f>SUM(TRA.19!$B$28:$F$28)</f>
        <v>20</v>
      </c>
      <c r="P16" s="11">
        <f>SUM(TRA.19!$B$29:$F$29)</f>
        <v>2250</v>
      </c>
    </row>
    <row r="17" spans="2:16" x14ac:dyDescent="0.3">
      <c r="B17" s="9" t="s">
        <v>17</v>
      </c>
      <c r="C17" s="12">
        <f>SUM(TRA.13!$B$30:$F$30)</f>
        <v>59</v>
      </c>
      <c r="D17" s="11">
        <f>SUM(TRA.13!$B$31:$F$31)</f>
        <v>2985</v>
      </c>
      <c r="E17" s="12">
        <f>SUM(TRA.14!$B$30:$F$30)</f>
        <v>52</v>
      </c>
      <c r="F17" s="11">
        <f>SUM(TRA.14!$B$31:$F$31)</f>
        <v>3110</v>
      </c>
      <c r="G17" s="12">
        <f>SUM(TRA.15!$B$30:$F$30)</f>
        <v>68</v>
      </c>
      <c r="H17" s="11">
        <f>SUM(TRA.15!$B$31:$F$31)</f>
        <v>4550</v>
      </c>
      <c r="I17" s="12">
        <f>SUM(TRA.16!$B$30:$F$30)</f>
        <v>61</v>
      </c>
      <c r="J17" s="11">
        <f>SUM(TRA.16!$B$31:$F$31)</f>
        <v>4540</v>
      </c>
      <c r="K17" s="12">
        <f>SUM(TRA.17!$B$30:$F$30)</f>
        <v>70</v>
      </c>
      <c r="L17" s="11">
        <f>SUM(TRA.17!$B$31:$F$31)</f>
        <v>6480</v>
      </c>
      <c r="M17" s="12">
        <f>SUM(TRA.18!$B$30:$F$30)</f>
        <v>84</v>
      </c>
      <c r="N17" s="11">
        <f>SUM(TRA.18!$B$31:$F$31)</f>
        <v>7898</v>
      </c>
      <c r="O17" s="12">
        <f>SUM(TRA.19!$B$30:$F$30)</f>
        <v>61</v>
      </c>
      <c r="P17" s="11">
        <f>SUM(TRA.19!$B$31:$F$31)</f>
        <v>6060</v>
      </c>
    </row>
    <row r="18" spans="2:16" x14ac:dyDescent="0.3">
      <c r="B18" s="9" t="s">
        <v>19</v>
      </c>
      <c r="C18" s="12">
        <f>SUM(TRA.13!$B$32:$F$32)</f>
        <v>13</v>
      </c>
      <c r="D18" s="11">
        <f>SUM(TRA.13!$B$33:$F$33)</f>
        <v>555</v>
      </c>
      <c r="E18" s="12">
        <f>SUM(TRA.14!$B$32:$F$32)</f>
        <v>21</v>
      </c>
      <c r="F18" s="11">
        <f>SUM(TRA.14!$B$33:$F$33)</f>
        <v>1135</v>
      </c>
      <c r="G18" s="12">
        <f>SUM(TRA.15!$B$32:$F$32)</f>
        <v>17</v>
      </c>
      <c r="H18" s="11">
        <f>SUM(TRA.15!$B$33:$F$33)</f>
        <v>890</v>
      </c>
      <c r="I18" s="12">
        <f>SUM(TRA.16!$B$32:$F$32)</f>
        <v>4</v>
      </c>
      <c r="J18" s="11">
        <f>SUM(TRA.16!$B$33:$F$33)</f>
        <v>300</v>
      </c>
      <c r="K18" s="12">
        <f>SUM(TRA.17!$B$32:$F$32)</f>
        <v>1</v>
      </c>
      <c r="L18" s="11">
        <f>SUM(TRA.17!$B$33:$F$33)</f>
        <v>100</v>
      </c>
      <c r="M18" s="12">
        <f>SUM(TRA.18!$B$32:$F$32)</f>
        <v>0</v>
      </c>
      <c r="N18" s="11">
        <f>SUM(TRA.18!$B$33:$F$33)</f>
        <v>0</v>
      </c>
      <c r="O18" s="12">
        <f>SUM(TRA.19!$B$32:$F$32)</f>
        <v>0</v>
      </c>
      <c r="P18" s="11">
        <f>SUM(TRA.19!$B$33:$F$33)</f>
        <v>0</v>
      </c>
    </row>
    <row r="19" spans="2:16" x14ac:dyDescent="0.3">
      <c r="B19" s="9" t="s">
        <v>20</v>
      </c>
      <c r="C19" s="12">
        <f>SUM(TRA.13!$B$34:$F$34)</f>
        <v>126</v>
      </c>
      <c r="D19" s="11">
        <f>SUM(TRA.13!$B$35:$F$35)</f>
        <v>6775</v>
      </c>
      <c r="E19" s="12">
        <f>SUM(TRA.14!$B$34:$F$34)</f>
        <v>101</v>
      </c>
      <c r="F19" s="11">
        <f>SUM(TRA.14!$B$35:$F$35)</f>
        <v>5575</v>
      </c>
      <c r="G19" s="12">
        <f>SUM(TRA.15!$B$34:$F$34)</f>
        <v>125</v>
      </c>
      <c r="H19" s="11">
        <f>SUM(TRA.15!$B$35:$F$35)</f>
        <v>7435</v>
      </c>
      <c r="I19" s="12">
        <f>SUM(TRA.16!$B$34:$F$34)</f>
        <v>139</v>
      </c>
      <c r="J19" s="11">
        <f>SUM(TRA.16!$B$35:$F$35)</f>
        <v>9725</v>
      </c>
      <c r="K19" s="12">
        <f>SUM(TRA.17!$B$34:$F$34)</f>
        <v>141</v>
      </c>
      <c r="L19" s="11">
        <f>SUM(TRA.17!$B$35:$F$35)</f>
        <v>11775</v>
      </c>
      <c r="M19" s="12">
        <f>SUM(TRA.18!$B$34:$F$34)</f>
        <v>151</v>
      </c>
      <c r="N19" s="11">
        <f>SUM(TRA.18!$B$35:$F$35)</f>
        <v>13607</v>
      </c>
      <c r="O19" s="12">
        <f>SUM(TRA.19!$B$34:$F$34)</f>
        <v>152</v>
      </c>
      <c r="P19" s="11">
        <f>SUM(TRA.19!$B$35:$F$35)</f>
        <v>14440</v>
      </c>
    </row>
    <row r="20" spans="2:16" x14ac:dyDescent="0.3">
      <c r="B20" s="9" t="s">
        <v>21</v>
      </c>
      <c r="C20" s="12">
        <f>SUM(TRA.13!$B$36:$F$36)</f>
        <v>0</v>
      </c>
      <c r="D20" s="11">
        <f>SUM(TRA.13!$B$37:$F$37)</f>
        <v>0</v>
      </c>
      <c r="E20" s="12">
        <f>SUM(TRA.14!$B$36:$F$36)</f>
        <v>18</v>
      </c>
      <c r="F20" s="11">
        <f>SUM(TRA.14!$B$37:$F$37)</f>
        <v>1125</v>
      </c>
      <c r="G20" s="12">
        <f>SUM(TRA.15!$B$36:$F$36)</f>
        <v>49</v>
      </c>
      <c r="H20" s="11">
        <f>SUM(TRA.15!$B$37:$F$37)</f>
        <v>2930</v>
      </c>
      <c r="I20" s="12">
        <f>SUM(TRA.16!$B$36:$F$36)</f>
        <v>51</v>
      </c>
      <c r="J20" s="11">
        <f>SUM(TRA.16!$B$37:$F$37)</f>
        <v>3675</v>
      </c>
      <c r="K20" s="12">
        <f>SUM(TRA.17!$B$36:$F$36)</f>
        <v>44</v>
      </c>
      <c r="L20" s="11">
        <f>SUM(TRA.17!$B$37:$F$37)</f>
        <v>3610</v>
      </c>
      <c r="M20" s="12">
        <f>SUM(TRA.18!$B$36:$F$36)</f>
        <v>40</v>
      </c>
      <c r="N20" s="11">
        <f>SUM(TRA.18!$B$37:$F$37)</f>
        <v>3415.5</v>
      </c>
      <c r="O20" s="12">
        <f>SUM(TRA.19!$B$36:$F$36)</f>
        <v>40</v>
      </c>
      <c r="P20" s="11">
        <f>SUM(TRA.19!$B$37:$F$37)</f>
        <v>3746.1</v>
      </c>
    </row>
    <row r="21" spans="2:16" x14ac:dyDescent="0.3">
      <c r="B21" s="9" t="s">
        <v>23</v>
      </c>
      <c r="C21" s="12">
        <f>SUM(TRA.13!$B$38:$F$38)</f>
        <v>344</v>
      </c>
      <c r="D21" s="11">
        <f>SUM(TRA.13!$B$39:$F$39)</f>
        <v>16995</v>
      </c>
      <c r="E21" s="12">
        <f>SUM(TRA.14!$B$38:$F$38)</f>
        <v>389</v>
      </c>
      <c r="F21" s="11">
        <f>SUM(TRA.14!$B$39:$F$39)</f>
        <v>23335</v>
      </c>
      <c r="G21" s="12">
        <f>SUM(TRA.15!$B$38:$F$38)</f>
        <v>378</v>
      </c>
      <c r="H21" s="11">
        <f>SUM(TRA.15!$B$39:$F$39)</f>
        <v>21036</v>
      </c>
      <c r="I21" s="12">
        <f>SUM(TRA.16!$B$38:$F$38)</f>
        <v>247</v>
      </c>
      <c r="J21" s="11">
        <f>SUM(TRA.16!$B$39:$F$39)</f>
        <v>16745</v>
      </c>
      <c r="K21" s="12">
        <f>SUM(TRA.17!$B$38:$F$38)</f>
        <v>337</v>
      </c>
      <c r="L21" s="11">
        <f>SUM(TRA.17!$B$39:$F$39)</f>
        <v>32370</v>
      </c>
      <c r="M21" s="12">
        <f>SUM(TRA.18!$B$38:$F$38)</f>
        <v>366</v>
      </c>
      <c r="N21" s="11">
        <f>SUM(TRA.18!$B$39:$F$39)</f>
        <v>35535.5</v>
      </c>
      <c r="O21" s="12">
        <f>SUM(TRA.19!$B$38:$F$38)</f>
        <v>340</v>
      </c>
      <c r="P21" s="11">
        <f>SUM(TRA.19!$B$39:$F$39)</f>
        <v>35941.1</v>
      </c>
    </row>
    <row r="22" spans="2:16" x14ac:dyDescent="0.3">
      <c r="B22" s="9" t="s">
        <v>24</v>
      </c>
      <c r="C22" s="12">
        <f>SUM(TRA.13!$B$40:$F$40)</f>
        <v>122</v>
      </c>
      <c r="D22" s="11">
        <f>SUM(TRA.13!$B$41:$F$41)</f>
        <v>8220</v>
      </c>
      <c r="E22" s="12">
        <f>SUM(TRA.14!$B$40:$F$40)</f>
        <v>128</v>
      </c>
      <c r="F22" s="11">
        <f>SUM(TRA.14!$B$41:$F$41)</f>
        <v>10885</v>
      </c>
      <c r="G22" s="12">
        <f>SUM(TRA.15!$B$40:$F$40)</f>
        <v>258</v>
      </c>
      <c r="H22" s="11">
        <f>SUM(TRA.15!$B$41:$F$41)</f>
        <v>13297.5</v>
      </c>
      <c r="I22" s="12">
        <f>SUM(TRA.16!$B$40:$F$40)</f>
        <v>399</v>
      </c>
      <c r="J22" s="11">
        <f>SUM(TRA.16!$B$41:$F$41)</f>
        <v>9520</v>
      </c>
      <c r="K22" s="12">
        <f>SUM(TRA.17!$B$40:$F$40)</f>
        <v>112</v>
      </c>
      <c r="L22" s="11">
        <f>SUM(TRA.17!$B$41:$F$41)</f>
        <v>10175</v>
      </c>
      <c r="M22" s="12">
        <f>SUM(TRA.18!$B$40:$F$40)</f>
        <v>104</v>
      </c>
      <c r="N22" s="11">
        <f>SUM(TRA.18!$B$41:$F$41)</f>
        <v>10155.1</v>
      </c>
      <c r="O22" s="12">
        <f>SUM(TRA.19!$B$40:$F$40)</f>
        <v>135</v>
      </c>
      <c r="P22" s="11">
        <f>SUM(TRA.19!$B$41:$F$41)</f>
        <v>13658</v>
      </c>
    </row>
    <row r="23" spans="2:16" x14ac:dyDescent="0.3">
      <c r="B23" s="9" t="s">
        <v>25</v>
      </c>
      <c r="C23" s="12">
        <f>SUM(TRA.13!$B$42:$F$42)</f>
        <v>13</v>
      </c>
      <c r="D23" s="11">
        <f>SUM(TRA.13!$B$43:$F$43)</f>
        <v>640</v>
      </c>
      <c r="E23" s="12">
        <f>SUM(TRA.14!$B$42:$F$42)</f>
        <v>8</v>
      </c>
      <c r="F23" s="11">
        <f>SUM(TRA.14!$B$43:$F$43)</f>
        <v>515</v>
      </c>
      <c r="G23" s="12">
        <f>SUM(TRA.15!$B$42:$F$42)</f>
        <v>5</v>
      </c>
      <c r="H23" s="11">
        <f>SUM(TRA.15!$B$43:$F$43)</f>
        <v>375</v>
      </c>
      <c r="I23" s="12">
        <f>SUM(TRA.16!$B$42:$F$42)</f>
        <v>3</v>
      </c>
      <c r="J23" s="11">
        <f>SUM(TRA.16!$B$43:$F$43)</f>
        <v>225</v>
      </c>
      <c r="K23" s="12">
        <f>SUM(TRA.17!$B$42:$F$42)</f>
        <v>43</v>
      </c>
      <c r="L23" s="11">
        <f>SUM(TRA.17!$B$43:$F$43)</f>
        <v>3895</v>
      </c>
      <c r="M23" s="12">
        <f>SUM(TRA.18!$B$42:$F$42)</f>
        <v>85</v>
      </c>
      <c r="N23" s="11">
        <f>SUM(TRA.18!$B$43:$F$43)</f>
        <v>8030</v>
      </c>
      <c r="O23" s="12">
        <f>SUM(TRA.19!$B$42:$F$42)</f>
        <v>61</v>
      </c>
      <c r="P23" s="11">
        <f>SUM(TRA.19!$B$43:$F$43)</f>
        <v>6728.1</v>
      </c>
    </row>
    <row r="24" spans="2:16" x14ac:dyDescent="0.3">
      <c r="B24" s="9" t="s">
        <v>26</v>
      </c>
      <c r="C24" s="12">
        <f>SUM(TRA.13!$B$44:$F$44)</f>
        <v>0</v>
      </c>
      <c r="D24" s="11">
        <f>SUM(TRA.13!$B$45:$F$45)</f>
        <v>0</v>
      </c>
      <c r="E24" s="12">
        <f>SUM(TRA.14!$B$44:$F$44)</f>
        <v>5</v>
      </c>
      <c r="F24" s="11">
        <f>SUM(TRA.14!$B$45:$F$45)</f>
        <v>310</v>
      </c>
      <c r="G24" s="12">
        <f>SUM(TRA.15!$B$44:$F$44)</f>
        <v>8</v>
      </c>
      <c r="H24" s="11">
        <f>SUM(TRA.15!$B$45:$F$45)</f>
        <v>510</v>
      </c>
      <c r="I24" s="12">
        <f>SUM(TRA.16!$B$44:$F$44)</f>
        <v>1</v>
      </c>
      <c r="J24" s="11">
        <f>SUM(TRA.16!$B$45:$F$45)</f>
        <v>75</v>
      </c>
      <c r="K24" s="12">
        <f>SUM(TRA.17!$B$44:$F$44)</f>
        <v>2</v>
      </c>
      <c r="L24" s="11">
        <f>SUM(TRA.17!$B$45:$F$45)</f>
        <v>175</v>
      </c>
      <c r="M24" s="12">
        <f>SUM(TRA.18!$B$44:$F$44)</f>
        <v>18</v>
      </c>
      <c r="N24" s="11">
        <f>SUM(TRA.18!$B$45:$F$45)</f>
        <v>1485</v>
      </c>
      <c r="O24" s="12">
        <f>SUM(TRA.19!$B$44:$F$44)</f>
        <v>0</v>
      </c>
      <c r="P24" s="11">
        <f>SUM(TRA.19!$B$45:$F$45)</f>
        <v>0</v>
      </c>
    </row>
    <row r="25" spans="2:16" x14ac:dyDescent="0.3">
      <c r="B25" s="9" t="s">
        <v>27</v>
      </c>
      <c r="C25" s="12">
        <f>SUM(TRA.13!$B$46:$F$46)</f>
        <v>0</v>
      </c>
      <c r="D25" s="11">
        <f>SUM(TRA.13!$B$47:$F$47)</f>
        <v>0</v>
      </c>
      <c r="E25" s="12">
        <f>SUM(TRA.14!$B$46:$F$46)</f>
        <v>0</v>
      </c>
      <c r="F25" s="11">
        <f>SUM(TRA.14!$B$47:$F$47)</f>
        <v>0</v>
      </c>
      <c r="G25" s="12">
        <f>SUM(TRA.15!$B$46:$F$46)</f>
        <v>0</v>
      </c>
      <c r="H25" s="11">
        <f>SUM(TRA.15!$B$47:$F$47)</f>
        <v>0</v>
      </c>
      <c r="I25" s="12">
        <f>SUM(TRA.16!$B$46:$F$46)</f>
        <v>0</v>
      </c>
      <c r="J25" s="11">
        <f>SUM(TRA.16!$B$47:$F$47)</f>
        <v>0</v>
      </c>
      <c r="K25" s="12">
        <f>SUM(TRA.17!$B$46:$F$46)</f>
        <v>0</v>
      </c>
      <c r="L25" s="11">
        <f>SUM(TRA.17!$B$47:$F$47)</f>
        <v>0</v>
      </c>
      <c r="M25" s="12">
        <f>SUM(TRA.18!$B$46:$F$46)</f>
        <v>0</v>
      </c>
      <c r="N25" s="11">
        <f>SUM(TRA.18!$B$47:$F$47)</f>
        <v>0</v>
      </c>
      <c r="O25" s="12">
        <f>SUM(TRA.19!$B$46:$F$46)</f>
        <v>0</v>
      </c>
      <c r="P25" s="11">
        <f>SUM(TRA.19!$B$47:$F$47)</f>
        <v>0</v>
      </c>
    </row>
    <row r="26" spans="2:16" x14ac:dyDescent="0.3">
      <c r="B26" s="9" t="s">
        <v>28</v>
      </c>
      <c r="C26" s="12">
        <f>SUM(TRA.13!$B$48:$F$48)</f>
        <v>49</v>
      </c>
      <c r="D26" s="11">
        <f>SUM(TRA.13!$B$49:$F$49)</f>
        <v>2450</v>
      </c>
      <c r="E26" s="12">
        <f>SUM(TRA.14!$B$48:$F$48)</f>
        <v>50</v>
      </c>
      <c r="F26" s="11">
        <f>SUM(TRA.14!$B$49:$F$49)</f>
        <v>2895</v>
      </c>
      <c r="G26" s="12">
        <f>SUM(TRA.15!$B$48:$F$48)</f>
        <v>50</v>
      </c>
      <c r="H26" s="11">
        <f>SUM(TRA.15!$B$49:$F$49)</f>
        <v>3057</v>
      </c>
      <c r="I26" s="12">
        <f>SUM(TRA.16!$B$48:$F$48)</f>
        <v>68</v>
      </c>
      <c r="J26" s="11">
        <f>SUM(TRA.16!$B$49:$F$49)</f>
        <v>4660</v>
      </c>
      <c r="K26" s="12">
        <f>SUM(TRA.17!$B$48:$F$48)</f>
        <v>85</v>
      </c>
      <c r="L26" s="11">
        <f>SUM(TRA.17!$B$49:$F$49)</f>
        <v>6870</v>
      </c>
      <c r="M26" s="12">
        <f>SUM(TRA.18!$B$48:$F$48)</f>
        <v>93</v>
      </c>
      <c r="N26" s="11">
        <f>SUM(TRA.18!$B$49:$F$49)</f>
        <v>8305</v>
      </c>
      <c r="O26" s="12">
        <f>SUM(TRA.19!$B$48:$F$48)</f>
        <v>96</v>
      </c>
      <c r="P26" s="11">
        <f>SUM(TRA.19!$B$49:$F$49)</f>
        <v>9734.1</v>
      </c>
    </row>
    <row r="27" spans="2:16" x14ac:dyDescent="0.3">
      <c r="B27" s="9" t="s">
        <v>29</v>
      </c>
      <c r="C27" s="12">
        <f>SUM(TRA.13!$B$50:$F$50)</f>
        <v>264</v>
      </c>
      <c r="D27" s="11">
        <f>SUM(TRA.13!$B$51:$F$51)</f>
        <v>14020</v>
      </c>
      <c r="E27" s="12">
        <f>SUM(TRA.14!$B$50:$F$50)</f>
        <v>320</v>
      </c>
      <c r="F27" s="11">
        <f>SUM(TRA.14!$B$51:$F$51)</f>
        <v>19950</v>
      </c>
      <c r="G27" s="12">
        <f>SUM(TRA.15!$B$50:$F$50)</f>
        <v>345</v>
      </c>
      <c r="H27" s="11">
        <f>SUM(TRA.15!$B$51:$F$51)</f>
        <v>23781</v>
      </c>
      <c r="I27" s="12">
        <f>SUM(TRA.16!$B$50:$F$50)</f>
        <v>352</v>
      </c>
      <c r="J27" s="11">
        <f>SUM(TRA.16!$B$51:$F$51)</f>
        <v>25195</v>
      </c>
      <c r="K27" s="12">
        <f>SUM(TRA.17!$B$50:$F$50)</f>
        <v>336</v>
      </c>
      <c r="L27" s="11">
        <f>SUM(TRA.17!$B$51:$F$51)</f>
        <v>31265</v>
      </c>
      <c r="M27" s="12">
        <f>SUM(TRA.18!$B$50:$F$50)</f>
        <v>356</v>
      </c>
      <c r="N27" s="11">
        <f>SUM(TRA.18!$B$51:$F$51)</f>
        <v>35222</v>
      </c>
      <c r="O27" s="12">
        <f>SUM(TRA.19!$B$50:$F$50)</f>
        <v>357</v>
      </c>
      <c r="P27" s="11">
        <f>SUM(TRA.19!$B$51:$F$51)</f>
        <v>35222</v>
      </c>
    </row>
    <row r="28" spans="2:16" x14ac:dyDescent="0.3">
      <c r="B28" s="9" t="s">
        <v>30</v>
      </c>
      <c r="C28" s="12">
        <f>SUM(TRA.13!$B$52:$F$52)</f>
        <v>50</v>
      </c>
      <c r="D28" s="11">
        <f>SUM(TRA.13!$B$53:$F$53)</f>
        <v>2700</v>
      </c>
      <c r="E28" s="12">
        <f>SUM(TRA.14!$B$52:$F$52)</f>
        <v>48</v>
      </c>
      <c r="F28" s="11">
        <f>SUM(TRA.14!$B$53:$F$53)</f>
        <v>2925</v>
      </c>
      <c r="G28" s="12">
        <f>SUM(TRA.15!$B$52:$F$52)</f>
        <v>87</v>
      </c>
      <c r="H28" s="11">
        <f>SUM(TRA.15!$B$53:$F$53)</f>
        <v>3515</v>
      </c>
      <c r="I28" s="12">
        <f>SUM(TRA.16!$B$52:$F$52)</f>
        <v>69</v>
      </c>
      <c r="J28" s="11">
        <f>SUM(TRA.16!$B$53:$F$53)</f>
        <v>2435</v>
      </c>
      <c r="K28" s="12">
        <f>SUM(TRA.17!$B$52:$F$52)</f>
        <v>36</v>
      </c>
      <c r="L28" s="11">
        <f>SUM(TRA.17!$B$53:$F$53)</f>
        <v>3475</v>
      </c>
      <c r="M28" s="12">
        <f>SUM(TRA.18!$B$52:$F$52)</f>
        <v>35</v>
      </c>
      <c r="N28" s="11">
        <f>SUM(TRA.18!$B$53:$F$53)</f>
        <v>2953.5</v>
      </c>
      <c r="O28" s="12">
        <f>SUM(TRA.19!$B$52:$F$52)</f>
        <v>16</v>
      </c>
      <c r="P28" s="11">
        <f>SUM(TRA.19!$B$53:$F$53)</f>
        <v>1704</v>
      </c>
    </row>
    <row r="29" spans="2:16" x14ac:dyDescent="0.3">
      <c r="B29" s="9" t="s">
        <v>31</v>
      </c>
      <c r="C29" s="12">
        <f>SUM(TRA.13!$B$54:$F$54)</f>
        <v>715</v>
      </c>
      <c r="D29" s="11">
        <f>SUM(TRA.13!$B$55:$F$55)</f>
        <v>49725</v>
      </c>
      <c r="E29" s="12">
        <f>SUM(TRA.14!$B$54:$F$54)</f>
        <v>960</v>
      </c>
      <c r="F29" s="11">
        <f>SUM(TRA.14!$B$55:$F$55)</f>
        <v>86420</v>
      </c>
      <c r="G29" s="12">
        <f>SUM(TRA.15!$B$54:$F$54)</f>
        <v>924</v>
      </c>
      <c r="H29" s="11">
        <f>SUM(TRA.15!$B$55:$F$55)</f>
        <v>72476.05</v>
      </c>
      <c r="I29" s="12">
        <f>SUM(TRA.16!$B$54:$F$54)</f>
        <v>768</v>
      </c>
      <c r="J29" s="11">
        <f>SUM(TRA.16!$B$55:$F$55)</f>
        <v>59215</v>
      </c>
      <c r="K29" s="12">
        <f>SUM(TRA.17!$B$54:$F$54)</f>
        <v>625</v>
      </c>
      <c r="L29" s="11">
        <f>SUM(TRA.17!$B$55:$F$55)</f>
        <v>58312.1</v>
      </c>
      <c r="M29" s="12">
        <f>SUM(TRA.18!$B$54:$F$54)</f>
        <v>661</v>
      </c>
      <c r="N29" s="11">
        <f>SUM(TRA.18!$B$55:$F$55)</f>
        <v>63360</v>
      </c>
      <c r="O29" s="12">
        <f>SUM(TRA.19!$B$54:$F$54)</f>
        <v>631</v>
      </c>
      <c r="P29" s="11">
        <f>SUM(TRA.19!$B$55:$F$55)</f>
        <v>64744</v>
      </c>
    </row>
    <row r="30" spans="2:16" x14ac:dyDescent="0.3">
      <c r="B30" s="9" t="s">
        <v>32</v>
      </c>
      <c r="C30" s="12">
        <f>SUM(TRA.13!$B$56:$F$56)</f>
        <v>0</v>
      </c>
      <c r="D30" s="11">
        <f>SUM(TRA.13!$B$57:$F$57)</f>
        <v>0</v>
      </c>
      <c r="E30" s="12">
        <f>SUM(TRA.14!$B$56:$F$56)</f>
        <v>0</v>
      </c>
      <c r="F30" s="11">
        <f>SUM(TRA.14!$B$57:$F$57)</f>
        <v>0</v>
      </c>
      <c r="G30" s="12">
        <f>SUM(TRA.15!$B$56:$F$56)</f>
        <v>1</v>
      </c>
      <c r="H30" s="11">
        <f>SUM(TRA.15!$B$57:$F$57)</f>
        <v>75</v>
      </c>
      <c r="I30" s="12">
        <f>SUM(TRA.16!$B$56:$F$56)</f>
        <v>0</v>
      </c>
      <c r="J30" s="11">
        <f>SUM(TRA.16!$B$57:$F$57)</f>
        <v>0</v>
      </c>
      <c r="K30" s="12">
        <f>SUM(TRA.17!$B$56:$F$56)</f>
        <v>0</v>
      </c>
      <c r="L30" s="11">
        <f>SUM(TRA.17!$B$57:$F$57)</f>
        <v>0</v>
      </c>
      <c r="M30" s="12">
        <f>SUM(TRA.18!$B$56:$F$56)</f>
        <v>0</v>
      </c>
      <c r="N30" s="11">
        <f>SUM(TRA.18!$B$57:$F$57)</f>
        <v>0</v>
      </c>
      <c r="O30" s="12">
        <f>SUM(TRA.19!$B$56:$F$56)</f>
        <v>0</v>
      </c>
      <c r="P30" s="11">
        <f>SUM(TRA.19!$B$57:$F$57)</f>
        <v>0</v>
      </c>
    </row>
    <row r="31" spans="2:16" x14ac:dyDescent="0.3"/>
    <row r="32" spans="2:16" x14ac:dyDescent="0.3"/>
    <row r="33" x14ac:dyDescent="0.3"/>
    <row r="34" x14ac:dyDescent="0.3"/>
    <row r="35" x14ac:dyDescent="0.3"/>
  </sheetData>
  <sortState xmlns:xlrd2="http://schemas.microsoft.com/office/spreadsheetml/2017/richdata2" ref="B4:B30">
    <sortCondition ref="B4"/>
  </sortState>
  <mergeCells count="1">
    <mergeCell ref="A1:Q1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47157-FBB6-4616-84A1-143FA6C2087C}">
  <sheetPr>
    <tabColor theme="3"/>
  </sheetPr>
  <dimension ref="A2:F58"/>
  <sheetViews>
    <sheetView workbookViewId="0">
      <selection activeCell="A4" sqref="A4:A57"/>
    </sheetView>
  </sheetViews>
  <sheetFormatPr defaultRowHeight="14.4" x14ac:dyDescent="0.3"/>
  <cols>
    <col min="1" max="1" width="3.6640625" style="5" bestFit="1" customWidth="1"/>
    <col min="2" max="2" width="12.6640625" style="1" bestFit="1" customWidth="1"/>
    <col min="3" max="3" width="11.6640625" style="1" bestFit="1" customWidth="1"/>
    <col min="4" max="4" width="11.109375" style="1" bestFit="1" customWidth="1"/>
    <col min="5" max="5" width="17.6640625" style="1" bestFit="1" customWidth="1"/>
    <col min="6" max="6" width="10.6640625" bestFit="1" customWidth="1"/>
  </cols>
  <sheetData>
    <row r="2" spans="1:6" x14ac:dyDescent="0.3">
      <c r="A2" s="247">
        <v>2013</v>
      </c>
      <c r="B2" s="247"/>
      <c r="C2" s="247"/>
      <c r="D2" s="247"/>
      <c r="E2" s="247"/>
      <c r="F2" s="247"/>
    </row>
    <row r="3" spans="1:6" x14ac:dyDescent="0.3">
      <c r="A3" s="7" t="s">
        <v>5</v>
      </c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</row>
    <row r="4" spans="1:6" x14ac:dyDescent="0.3">
      <c r="A4" s="246" t="s">
        <v>0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46"/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3">
      <c r="A6" s="246" t="s">
        <v>4</v>
      </c>
      <c r="B6" s="2">
        <v>21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246"/>
      <c r="B7" s="3">
        <v>1060</v>
      </c>
      <c r="C7" s="3">
        <v>0</v>
      </c>
      <c r="D7" s="3">
        <v>0</v>
      </c>
      <c r="E7" s="3">
        <v>0</v>
      </c>
      <c r="F7" s="3">
        <v>0</v>
      </c>
    </row>
    <row r="8" spans="1:6" x14ac:dyDescent="0.3">
      <c r="A8" s="246" t="s">
        <v>6</v>
      </c>
      <c r="B8" s="2">
        <v>76</v>
      </c>
      <c r="C8" s="2">
        <v>5</v>
      </c>
      <c r="D8" s="2">
        <v>0</v>
      </c>
      <c r="E8" s="2">
        <v>0</v>
      </c>
      <c r="F8" s="2">
        <v>0</v>
      </c>
    </row>
    <row r="9" spans="1:6" x14ac:dyDescent="0.3">
      <c r="A9" s="246"/>
      <c r="B9" s="3">
        <v>4100</v>
      </c>
      <c r="C9" s="3">
        <v>235</v>
      </c>
      <c r="D9" s="3">
        <v>0</v>
      </c>
      <c r="E9" s="3">
        <v>0</v>
      </c>
      <c r="F9" s="3">
        <v>0</v>
      </c>
    </row>
    <row r="10" spans="1:6" x14ac:dyDescent="0.3">
      <c r="A10" s="246" t="s">
        <v>7</v>
      </c>
      <c r="B10" s="2">
        <v>41</v>
      </c>
      <c r="C10" s="2">
        <v>3</v>
      </c>
      <c r="D10" s="2">
        <v>5</v>
      </c>
      <c r="E10" s="2">
        <v>0</v>
      </c>
      <c r="F10" s="2">
        <v>0</v>
      </c>
    </row>
    <row r="11" spans="1:6" x14ac:dyDescent="0.3">
      <c r="A11" s="246"/>
      <c r="B11" s="3">
        <v>2140</v>
      </c>
      <c r="C11" s="3">
        <v>160</v>
      </c>
      <c r="D11" s="3">
        <v>275</v>
      </c>
      <c r="E11" s="3">
        <v>0</v>
      </c>
      <c r="F11" s="3">
        <v>0</v>
      </c>
    </row>
    <row r="12" spans="1:6" x14ac:dyDescent="0.3">
      <c r="A12" s="246" t="s">
        <v>8</v>
      </c>
      <c r="B12" s="2">
        <v>36</v>
      </c>
      <c r="C12" s="2">
        <v>1</v>
      </c>
      <c r="D12" s="2">
        <v>0</v>
      </c>
      <c r="E12" s="2">
        <v>0</v>
      </c>
      <c r="F12" s="2">
        <v>0</v>
      </c>
    </row>
    <row r="13" spans="1:6" x14ac:dyDescent="0.3">
      <c r="A13" s="246"/>
      <c r="B13" s="3">
        <v>1930</v>
      </c>
      <c r="C13" s="3">
        <v>30</v>
      </c>
      <c r="D13" s="3">
        <v>0</v>
      </c>
      <c r="E13" s="3">
        <v>0</v>
      </c>
      <c r="F13" s="3">
        <v>0</v>
      </c>
    </row>
    <row r="14" spans="1:6" x14ac:dyDescent="0.3">
      <c r="A14" s="246" t="s">
        <v>9</v>
      </c>
      <c r="B14" s="2">
        <v>59</v>
      </c>
      <c r="C14" s="2">
        <v>1</v>
      </c>
      <c r="D14" s="2">
        <v>4</v>
      </c>
      <c r="E14" s="2">
        <v>0</v>
      </c>
      <c r="F14" s="2">
        <v>0</v>
      </c>
    </row>
    <row r="15" spans="1:6" x14ac:dyDescent="0.3">
      <c r="A15" s="246"/>
      <c r="B15" s="3">
        <v>2890</v>
      </c>
      <c r="C15" s="3">
        <v>55</v>
      </c>
      <c r="D15" s="3">
        <v>215</v>
      </c>
      <c r="E15" s="3">
        <v>0</v>
      </c>
      <c r="F15" s="3">
        <v>0</v>
      </c>
    </row>
    <row r="16" spans="1:6" x14ac:dyDescent="0.3">
      <c r="A16" s="246" t="s">
        <v>10</v>
      </c>
      <c r="B16" s="2">
        <v>66</v>
      </c>
      <c r="C16" s="2">
        <v>3</v>
      </c>
      <c r="D16" s="2">
        <v>4</v>
      </c>
      <c r="E16" s="2">
        <v>0</v>
      </c>
      <c r="F16" s="2">
        <v>0</v>
      </c>
    </row>
    <row r="17" spans="1:6" x14ac:dyDescent="0.3">
      <c r="A17" s="246"/>
      <c r="B17" s="3">
        <v>3155</v>
      </c>
      <c r="C17" s="3">
        <v>150</v>
      </c>
      <c r="D17" s="3">
        <v>205</v>
      </c>
      <c r="E17" s="3">
        <v>0</v>
      </c>
      <c r="F17" s="3">
        <v>0</v>
      </c>
    </row>
    <row r="18" spans="1:6" x14ac:dyDescent="0.3">
      <c r="A18" s="246" t="s">
        <v>11</v>
      </c>
      <c r="B18" s="2">
        <v>60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246"/>
      <c r="B19" s="3">
        <v>2825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3">
      <c r="A20" s="246" t="s">
        <v>12</v>
      </c>
      <c r="B20" s="2">
        <v>50</v>
      </c>
      <c r="C20" s="2">
        <v>3</v>
      </c>
      <c r="D20" s="2">
        <v>3</v>
      </c>
      <c r="E20" s="2">
        <v>0</v>
      </c>
      <c r="F20" s="2">
        <v>0</v>
      </c>
    </row>
    <row r="21" spans="1:6" x14ac:dyDescent="0.3">
      <c r="A21" s="246"/>
      <c r="B21" s="3">
        <v>2465</v>
      </c>
      <c r="C21" s="3">
        <v>125</v>
      </c>
      <c r="D21" s="3">
        <v>159</v>
      </c>
      <c r="E21" s="4">
        <v>0</v>
      </c>
      <c r="F21" s="3">
        <v>0</v>
      </c>
    </row>
    <row r="22" spans="1:6" x14ac:dyDescent="0.3">
      <c r="A22" s="246" t="s">
        <v>13</v>
      </c>
      <c r="B22" s="2">
        <v>1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246"/>
      <c r="B23" s="3">
        <v>55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3">
      <c r="A24" s="246" t="s">
        <v>14</v>
      </c>
      <c r="B24" s="2">
        <v>54</v>
      </c>
      <c r="C24" s="2">
        <v>1</v>
      </c>
      <c r="D24" s="2">
        <v>0</v>
      </c>
      <c r="E24" s="2">
        <v>0</v>
      </c>
      <c r="F24" s="2">
        <v>0</v>
      </c>
    </row>
    <row r="25" spans="1:6" x14ac:dyDescent="0.3">
      <c r="A25" s="246"/>
      <c r="B25" s="3">
        <v>2650</v>
      </c>
      <c r="C25" s="3">
        <v>55</v>
      </c>
      <c r="D25" s="3">
        <v>0</v>
      </c>
      <c r="E25" s="3">
        <v>0</v>
      </c>
      <c r="F25" s="3">
        <v>0</v>
      </c>
    </row>
    <row r="26" spans="1:6" x14ac:dyDescent="0.3">
      <c r="A26" s="246" t="s">
        <v>15</v>
      </c>
      <c r="B26" s="2">
        <v>58</v>
      </c>
      <c r="C26" s="2">
        <v>1</v>
      </c>
      <c r="D26" s="2">
        <v>2</v>
      </c>
      <c r="E26" s="2">
        <v>0</v>
      </c>
      <c r="F26" s="2">
        <v>0</v>
      </c>
    </row>
    <row r="27" spans="1:6" x14ac:dyDescent="0.3">
      <c r="A27" s="246"/>
      <c r="B27" s="3">
        <v>2570</v>
      </c>
      <c r="C27" s="3">
        <v>30</v>
      </c>
      <c r="D27" s="3">
        <v>95</v>
      </c>
      <c r="E27" s="3">
        <v>0</v>
      </c>
      <c r="F27" s="3">
        <v>0</v>
      </c>
    </row>
    <row r="28" spans="1:6" x14ac:dyDescent="0.3">
      <c r="A28" s="246" t="s">
        <v>16</v>
      </c>
      <c r="B28" s="2">
        <v>3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246"/>
      <c r="B29" s="3">
        <v>135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3">
      <c r="A30" s="246" t="s">
        <v>17</v>
      </c>
      <c r="B30" s="2">
        <v>47</v>
      </c>
      <c r="C30" s="2">
        <v>2</v>
      </c>
      <c r="D30" s="2">
        <v>8</v>
      </c>
      <c r="E30" s="2">
        <v>2</v>
      </c>
      <c r="F30" s="2">
        <v>0</v>
      </c>
    </row>
    <row r="31" spans="1:6" x14ac:dyDescent="0.3">
      <c r="A31" s="246"/>
      <c r="B31" s="3">
        <v>2375</v>
      </c>
      <c r="C31" s="3">
        <v>100</v>
      </c>
      <c r="D31" s="3">
        <v>420</v>
      </c>
      <c r="E31" s="3">
        <v>90</v>
      </c>
      <c r="F31" s="3">
        <v>0</v>
      </c>
    </row>
    <row r="32" spans="1:6" x14ac:dyDescent="0.3">
      <c r="A32" s="246" t="s">
        <v>19</v>
      </c>
      <c r="B32" s="2">
        <v>13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246"/>
      <c r="B33" s="3">
        <v>555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3">
      <c r="A34" s="246" t="s">
        <v>20</v>
      </c>
      <c r="B34" s="2">
        <v>104</v>
      </c>
      <c r="C34" s="2">
        <v>4</v>
      </c>
      <c r="D34" s="2">
        <v>16</v>
      </c>
      <c r="E34" s="2">
        <v>1</v>
      </c>
      <c r="F34" s="2">
        <v>1</v>
      </c>
    </row>
    <row r="35" spans="1:6" x14ac:dyDescent="0.3">
      <c r="A35" s="246"/>
      <c r="B35" s="3">
        <v>5690</v>
      </c>
      <c r="C35" s="3">
        <v>185</v>
      </c>
      <c r="D35" s="3">
        <v>855</v>
      </c>
      <c r="E35" s="3">
        <v>45</v>
      </c>
      <c r="F35" s="3">
        <v>0</v>
      </c>
    </row>
    <row r="36" spans="1:6" x14ac:dyDescent="0.3">
      <c r="A36" s="246" t="s">
        <v>21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246"/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3">
      <c r="A38" s="246" t="s">
        <v>23</v>
      </c>
      <c r="B38" s="2">
        <v>329</v>
      </c>
      <c r="C38" s="2">
        <v>7</v>
      </c>
      <c r="D38" s="2">
        <v>8</v>
      </c>
      <c r="E38" s="2">
        <v>0</v>
      </c>
      <c r="F38" s="2">
        <v>0</v>
      </c>
    </row>
    <row r="39" spans="1:6" x14ac:dyDescent="0.3">
      <c r="A39" s="246"/>
      <c r="B39" s="3">
        <v>16240</v>
      </c>
      <c r="C39" s="3">
        <v>345</v>
      </c>
      <c r="D39" s="3">
        <v>410</v>
      </c>
      <c r="E39" s="3">
        <v>0</v>
      </c>
      <c r="F39" s="3">
        <v>0</v>
      </c>
    </row>
    <row r="40" spans="1:6" x14ac:dyDescent="0.3">
      <c r="A40" s="246" t="s">
        <v>24</v>
      </c>
      <c r="B40" s="2">
        <v>111</v>
      </c>
      <c r="C40" s="2">
        <v>8</v>
      </c>
      <c r="D40" s="2">
        <v>3</v>
      </c>
      <c r="E40" s="2">
        <v>0</v>
      </c>
      <c r="F40" s="2">
        <v>0</v>
      </c>
    </row>
    <row r="41" spans="1:6" x14ac:dyDescent="0.3">
      <c r="A41" s="246"/>
      <c r="B41" s="3">
        <v>7740</v>
      </c>
      <c r="C41" s="3">
        <v>340</v>
      </c>
      <c r="D41" s="3">
        <v>140</v>
      </c>
      <c r="E41" s="3">
        <v>0</v>
      </c>
      <c r="F41" s="3">
        <v>0</v>
      </c>
    </row>
    <row r="42" spans="1:6" x14ac:dyDescent="0.3">
      <c r="A42" s="246" t="s">
        <v>25</v>
      </c>
      <c r="B42" s="2">
        <v>13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246"/>
      <c r="B43" s="3">
        <v>640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3">
      <c r="A44" s="246" t="s">
        <v>26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46"/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3">
      <c r="A46" s="246" t="s">
        <v>27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46"/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3">
      <c r="A48" s="246" t="s">
        <v>28</v>
      </c>
      <c r="B48" s="2">
        <v>46</v>
      </c>
      <c r="C48" s="2">
        <v>0</v>
      </c>
      <c r="D48" s="2">
        <v>2</v>
      </c>
      <c r="E48" s="2">
        <v>1</v>
      </c>
      <c r="F48" s="2">
        <v>0</v>
      </c>
    </row>
    <row r="49" spans="1:6" x14ac:dyDescent="0.3">
      <c r="A49" s="246"/>
      <c r="B49" s="3">
        <v>2305</v>
      </c>
      <c r="C49" s="3">
        <v>0</v>
      </c>
      <c r="D49" s="3">
        <v>95</v>
      </c>
      <c r="E49" s="3">
        <v>50</v>
      </c>
      <c r="F49" s="3">
        <v>0</v>
      </c>
    </row>
    <row r="50" spans="1:6" x14ac:dyDescent="0.3">
      <c r="A50" s="246" t="s">
        <v>29</v>
      </c>
      <c r="B50" s="2">
        <v>241</v>
      </c>
      <c r="C50" s="2">
        <v>16</v>
      </c>
      <c r="D50" s="2">
        <v>7</v>
      </c>
      <c r="E50" s="2">
        <v>0</v>
      </c>
      <c r="F50" s="2">
        <v>0</v>
      </c>
    </row>
    <row r="51" spans="1:6" x14ac:dyDescent="0.3">
      <c r="A51" s="246"/>
      <c r="B51" s="3">
        <v>12820</v>
      </c>
      <c r="C51" s="3">
        <v>835</v>
      </c>
      <c r="D51" s="3">
        <v>365</v>
      </c>
      <c r="E51" s="3">
        <v>0</v>
      </c>
      <c r="F51" s="3">
        <v>0</v>
      </c>
    </row>
    <row r="52" spans="1:6" x14ac:dyDescent="0.3">
      <c r="A52" s="246" t="s">
        <v>30</v>
      </c>
      <c r="B52" s="2">
        <v>48</v>
      </c>
      <c r="C52" s="2">
        <v>1</v>
      </c>
      <c r="D52" s="2">
        <v>1</v>
      </c>
      <c r="E52" s="2">
        <v>0</v>
      </c>
      <c r="F52" s="2">
        <v>0</v>
      </c>
    </row>
    <row r="53" spans="1:6" x14ac:dyDescent="0.3">
      <c r="A53" s="246"/>
      <c r="B53" s="3">
        <v>2590</v>
      </c>
      <c r="C53" s="3">
        <v>55</v>
      </c>
      <c r="D53" s="3">
        <v>55</v>
      </c>
      <c r="E53" s="3">
        <v>0</v>
      </c>
      <c r="F53" s="3">
        <v>0</v>
      </c>
    </row>
    <row r="54" spans="1:6" x14ac:dyDescent="0.3">
      <c r="A54" s="246" t="s">
        <v>31</v>
      </c>
      <c r="B54" s="2">
        <v>657</v>
      </c>
      <c r="C54" s="2">
        <v>42</v>
      </c>
      <c r="D54" s="2">
        <v>14</v>
      </c>
      <c r="E54" s="2">
        <v>1</v>
      </c>
      <c r="F54" s="2">
        <v>1</v>
      </c>
    </row>
    <row r="55" spans="1:6" x14ac:dyDescent="0.3">
      <c r="A55" s="246"/>
      <c r="B55" s="3">
        <v>46855</v>
      </c>
      <c r="C55" s="3">
        <v>2135</v>
      </c>
      <c r="D55" s="3">
        <v>645</v>
      </c>
      <c r="E55" s="3">
        <v>45</v>
      </c>
      <c r="F55" s="3">
        <v>45</v>
      </c>
    </row>
    <row r="56" spans="1:6" x14ac:dyDescent="0.3">
      <c r="A56" s="246" t="s">
        <v>32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246"/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3">
      <c r="A58" s="7" t="s">
        <v>5</v>
      </c>
      <c r="B58" s="7" t="s">
        <v>33</v>
      </c>
      <c r="C58" s="7" t="s">
        <v>34</v>
      </c>
      <c r="D58" s="7" t="s">
        <v>35</v>
      </c>
      <c r="E58" s="7" t="s">
        <v>36</v>
      </c>
      <c r="F58" s="7" t="s">
        <v>37</v>
      </c>
    </row>
  </sheetData>
  <mergeCells count="28">
    <mergeCell ref="A4:A5"/>
    <mergeCell ref="A6:A7"/>
    <mergeCell ref="A8:A9"/>
    <mergeCell ref="A10:A11"/>
    <mergeCell ref="A12:A13"/>
    <mergeCell ref="A38:A39"/>
    <mergeCell ref="A14:A15"/>
    <mergeCell ref="A18:A19"/>
    <mergeCell ref="A20:A21"/>
    <mergeCell ref="A22:A23"/>
    <mergeCell ref="A24:A25"/>
    <mergeCell ref="A26:A27"/>
    <mergeCell ref="A52:A53"/>
    <mergeCell ref="A54:A55"/>
    <mergeCell ref="A56:A57"/>
    <mergeCell ref="A2:F2"/>
    <mergeCell ref="A16:A17"/>
    <mergeCell ref="A40:A41"/>
    <mergeCell ref="A42:A43"/>
    <mergeCell ref="A44:A45"/>
    <mergeCell ref="A46:A47"/>
    <mergeCell ref="A48:A49"/>
    <mergeCell ref="A50:A51"/>
    <mergeCell ref="A28:A29"/>
    <mergeCell ref="A30:A31"/>
    <mergeCell ref="A32:A33"/>
    <mergeCell ref="A34:A35"/>
    <mergeCell ref="A36:A3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BFFFE-014B-4A8C-B977-1A47FC738C87}">
  <sheetPr>
    <tabColor theme="3"/>
  </sheetPr>
  <dimension ref="A2:F58"/>
  <sheetViews>
    <sheetView workbookViewId="0">
      <selection activeCell="A4" sqref="A4:A57"/>
    </sheetView>
  </sheetViews>
  <sheetFormatPr defaultRowHeight="14.4" x14ac:dyDescent="0.3"/>
  <cols>
    <col min="1" max="1" width="5.33203125" style="5" customWidth="1"/>
    <col min="2" max="2" width="12.6640625" style="1" bestFit="1" customWidth="1"/>
    <col min="3" max="3" width="11.6640625" style="1" bestFit="1" customWidth="1"/>
    <col min="4" max="4" width="11.109375" style="1" bestFit="1" customWidth="1"/>
    <col min="5" max="5" width="17.6640625" style="1" bestFit="1" customWidth="1"/>
    <col min="6" max="6" width="10.6640625" bestFit="1" customWidth="1"/>
  </cols>
  <sheetData>
    <row r="2" spans="1:6" x14ac:dyDescent="0.3">
      <c r="A2" s="247">
        <v>2014</v>
      </c>
      <c r="B2" s="247"/>
      <c r="C2" s="247"/>
      <c r="D2" s="247"/>
      <c r="E2" s="247"/>
      <c r="F2" s="247"/>
    </row>
    <row r="3" spans="1:6" x14ac:dyDescent="0.3">
      <c r="A3" s="7" t="s">
        <v>5</v>
      </c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</row>
    <row r="4" spans="1:6" x14ac:dyDescent="0.3">
      <c r="A4" s="246" t="s">
        <v>0</v>
      </c>
      <c r="B4" s="2">
        <v>1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46"/>
      <c r="B5" s="3">
        <v>65</v>
      </c>
      <c r="C5" s="3">
        <v>0</v>
      </c>
      <c r="D5" s="3">
        <v>0</v>
      </c>
      <c r="E5" s="3">
        <v>0</v>
      </c>
      <c r="F5" s="3">
        <v>0</v>
      </c>
    </row>
    <row r="6" spans="1:6" x14ac:dyDescent="0.3">
      <c r="A6" s="246" t="s">
        <v>4</v>
      </c>
      <c r="B6" s="2">
        <v>18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246"/>
      <c r="B7" s="3">
        <v>1120</v>
      </c>
      <c r="C7" s="3">
        <v>0</v>
      </c>
      <c r="D7" s="3">
        <v>0</v>
      </c>
      <c r="E7" s="3">
        <v>0</v>
      </c>
      <c r="F7" s="3">
        <v>0</v>
      </c>
    </row>
    <row r="8" spans="1:6" x14ac:dyDescent="0.3">
      <c r="A8" s="246" t="s">
        <v>6</v>
      </c>
      <c r="B8" s="2">
        <v>71</v>
      </c>
      <c r="C8" s="2">
        <v>5</v>
      </c>
      <c r="D8" s="2">
        <v>3</v>
      </c>
      <c r="E8" s="2">
        <v>0</v>
      </c>
      <c r="F8" s="2">
        <v>0</v>
      </c>
    </row>
    <row r="9" spans="1:6" x14ac:dyDescent="0.3">
      <c r="A9" s="246"/>
      <c r="B9" s="3">
        <v>3915</v>
      </c>
      <c r="C9" s="3">
        <v>260</v>
      </c>
      <c r="D9" s="3">
        <v>190</v>
      </c>
      <c r="E9" s="3">
        <v>0</v>
      </c>
      <c r="F9" s="3">
        <v>0</v>
      </c>
    </row>
    <row r="10" spans="1:6" x14ac:dyDescent="0.3">
      <c r="A10" s="246" t="s">
        <v>7</v>
      </c>
      <c r="B10" s="2">
        <v>39</v>
      </c>
      <c r="C10" s="2">
        <v>3</v>
      </c>
      <c r="D10" s="2">
        <v>4</v>
      </c>
      <c r="E10" s="2">
        <v>0</v>
      </c>
      <c r="F10" s="2">
        <v>0</v>
      </c>
    </row>
    <row r="11" spans="1:6" x14ac:dyDescent="0.3">
      <c r="A11" s="246"/>
      <c r="B11" s="3">
        <v>2345</v>
      </c>
      <c r="C11" s="3">
        <v>160</v>
      </c>
      <c r="D11" s="3">
        <v>250</v>
      </c>
      <c r="E11" s="3">
        <v>0</v>
      </c>
      <c r="F11" s="3">
        <v>0</v>
      </c>
    </row>
    <row r="12" spans="1:6" x14ac:dyDescent="0.3">
      <c r="A12" s="246" t="s">
        <v>8</v>
      </c>
      <c r="B12" s="2">
        <v>40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246"/>
      <c r="B13" s="3">
        <v>2560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3">
      <c r="A14" s="246" t="s">
        <v>9</v>
      </c>
      <c r="B14" s="2">
        <v>68</v>
      </c>
      <c r="C14" s="2">
        <v>1</v>
      </c>
      <c r="D14" s="2">
        <v>2</v>
      </c>
      <c r="E14" s="2">
        <v>0</v>
      </c>
      <c r="F14" s="2">
        <v>0</v>
      </c>
    </row>
    <row r="15" spans="1:6" x14ac:dyDescent="0.3">
      <c r="A15" s="246"/>
      <c r="B15" s="3">
        <v>3950</v>
      </c>
      <c r="C15" s="3">
        <v>65</v>
      </c>
      <c r="D15" s="3">
        <v>115</v>
      </c>
      <c r="E15" s="3">
        <v>0</v>
      </c>
      <c r="F15" s="3">
        <v>0</v>
      </c>
    </row>
    <row r="16" spans="1:6" x14ac:dyDescent="0.3">
      <c r="A16" s="246" t="s">
        <v>10</v>
      </c>
      <c r="B16" s="2">
        <v>68</v>
      </c>
      <c r="C16" s="2">
        <v>1</v>
      </c>
      <c r="D16" s="2">
        <v>2</v>
      </c>
      <c r="E16" s="2">
        <v>0</v>
      </c>
      <c r="F16" s="2">
        <v>0</v>
      </c>
    </row>
    <row r="17" spans="1:6" x14ac:dyDescent="0.3">
      <c r="A17" s="246"/>
      <c r="B17" s="3">
        <v>3950</v>
      </c>
      <c r="C17" s="3">
        <v>65</v>
      </c>
      <c r="D17" s="3">
        <v>115</v>
      </c>
      <c r="E17" s="3">
        <v>0</v>
      </c>
      <c r="F17" s="3">
        <v>0</v>
      </c>
    </row>
    <row r="18" spans="1:6" x14ac:dyDescent="0.3">
      <c r="A18" s="246" t="s">
        <v>11</v>
      </c>
      <c r="B18" s="2">
        <v>59</v>
      </c>
      <c r="C18" s="2">
        <v>1</v>
      </c>
      <c r="D18" s="2">
        <v>0</v>
      </c>
      <c r="E18" s="2">
        <v>0</v>
      </c>
      <c r="F18" s="2">
        <v>0</v>
      </c>
    </row>
    <row r="19" spans="1:6" x14ac:dyDescent="0.3">
      <c r="A19" s="246"/>
      <c r="B19" s="3">
        <v>3125</v>
      </c>
      <c r="C19" s="3">
        <v>65</v>
      </c>
      <c r="D19" s="3">
        <v>0</v>
      </c>
      <c r="E19" s="3">
        <v>0</v>
      </c>
      <c r="F19" s="3">
        <v>0</v>
      </c>
    </row>
    <row r="20" spans="1:6" x14ac:dyDescent="0.3">
      <c r="A20" s="246" t="s">
        <v>12</v>
      </c>
      <c r="B20" s="2">
        <v>38</v>
      </c>
      <c r="C20" s="2">
        <v>2</v>
      </c>
      <c r="D20" s="2">
        <v>0</v>
      </c>
      <c r="E20" s="2">
        <v>0</v>
      </c>
      <c r="F20" s="2">
        <v>0</v>
      </c>
    </row>
    <row r="21" spans="1:6" x14ac:dyDescent="0.3">
      <c r="A21" s="246"/>
      <c r="B21" s="3">
        <v>2095</v>
      </c>
      <c r="C21" s="3">
        <v>130</v>
      </c>
      <c r="D21" s="3">
        <v>0</v>
      </c>
      <c r="E21" s="3">
        <v>0</v>
      </c>
      <c r="F21" s="3">
        <v>0</v>
      </c>
    </row>
    <row r="22" spans="1:6" x14ac:dyDescent="0.3">
      <c r="A22" s="246" t="s">
        <v>13</v>
      </c>
      <c r="B22" s="2">
        <v>1</v>
      </c>
      <c r="C22" s="2">
        <v>1</v>
      </c>
      <c r="D22" s="2">
        <v>0</v>
      </c>
      <c r="E22" s="2">
        <v>0</v>
      </c>
      <c r="F22" s="2">
        <v>0</v>
      </c>
    </row>
    <row r="23" spans="1:6" x14ac:dyDescent="0.3">
      <c r="A23" s="246"/>
      <c r="B23" s="3">
        <v>65</v>
      </c>
      <c r="C23" s="3">
        <v>65</v>
      </c>
      <c r="D23" s="3">
        <v>0</v>
      </c>
      <c r="E23" s="3">
        <v>0</v>
      </c>
      <c r="F23" s="3">
        <v>0</v>
      </c>
    </row>
    <row r="24" spans="1:6" x14ac:dyDescent="0.3">
      <c r="A24" s="246" t="s">
        <v>14</v>
      </c>
      <c r="B24" s="2">
        <v>64</v>
      </c>
      <c r="C24" s="2">
        <v>1</v>
      </c>
      <c r="D24" s="2">
        <v>0</v>
      </c>
      <c r="E24" s="2">
        <v>0</v>
      </c>
      <c r="F24" s="2">
        <v>0</v>
      </c>
    </row>
    <row r="25" spans="1:6" x14ac:dyDescent="0.3">
      <c r="A25" s="246"/>
      <c r="B25" s="3">
        <v>3725</v>
      </c>
      <c r="C25" s="3">
        <v>60</v>
      </c>
      <c r="D25" s="3">
        <v>0</v>
      </c>
      <c r="E25" s="3">
        <v>0</v>
      </c>
      <c r="F25" s="3">
        <v>0</v>
      </c>
    </row>
    <row r="26" spans="1:6" x14ac:dyDescent="0.3">
      <c r="A26" s="246" t="s">
        <v>15</v>
      </c>
      <c r="B26" s="2">
        <v>76</v>
      </c>
      <c r="C26" s="2">
        <v>2</v>
      </c>
      <c r="D26" s="2">
        <v>1</v>
      </c>
      <c r="E26" s="2">
        <v>0</v>
      </c>
      <c r="F26" s="2">
        <v>0</v>
      </c>
    </row>
    <row r="27" spans="1:6" x14ac:dyDescent="0.3">
      <c r="A27" s="246"/>
      <c r="B27" s="3">
        <v>4465</v>
      </c>
      <c r="C27" s="3">
        <v>100</v>
      </c>
      <c r="D27" s="3">
        <v>50</v>
      </c>
      <c r="E27" s="3">
        <v>0</v>
      </c>
      <c r="F27" s="3">
        <v>0</v>
      </c>
    </row>
    <row r="28" spans="1:6" x14ac:dyDescent="0.3">
      <c r="A28" s="246" t="s">
        <v>16</v>
      </c>
      <c r="B28" s="2">
        <v>9</v>
      </c>
      <c r="C28" s="2">
        <v>0</v>
      </c>
      <c r="D28" s="2">
        <v>0</v>
      </c>
      <c r="E28" s="2">
        <v>0</v>
      </c>
      <c r="F28" s="2">
        <v>1</v>
      </c>
    </row>
    <row r="29" spans="1:6" x14ac:dyDescent="0.3">
      <c r="A29" s="246"/>
      <c r="B29" s="3">
        <v>490</v>
      </c>
      <c r="C29" s="3">
        <v>0</v>
      </c>
      <c r="D29" s="3">
        <v>0</v>
      </c>
      <c r="E29" s="3">
        <v>0</v>
      </c>
      <c r="F29" s="3">
        <v>50</v>
      </c>
    </row>
    <row r="30" spans="1:6" x14ac:dyDescent="0.3">
      <c r="A30" s="246" t="s">
        <v>17</v>
      </c>
      <c r="B30" s="2">
        <v>44</v>
      </c>
      <c r="C30" s="2">
        <v>2</v>
      </c>
      <c r="D30" s="2">
        <v>6</v>
      </c>
      <c r="E30" s="2">
        <v>0</v>
      </c>
      <c r="F30" s="2">
        <v>0</v>
      </c>
    </row>
    <row r="31" spans="1:6" x14ac:dyDescent="0.3">
      <c r="A31" s="246"/>
      <c r="B31" s="3">
        <v>2635</v>
      </c>
      <c r="C31" s="3">
        <v>115</v>
      </c>
      <c r="D31" s="3">
        <v>360</v>
      </c>
      <c r="E31" s="3">
        <v>0</v>
      </c>
      <c r="F31" s="3">
        <v>0</v>
      </c>
    </row>
    <row r="32" spans="1:6" x14ac:dyDescent="0.3">
      <c r="A32" s="246" t="s">
        <v>19</v>
      </c>
      <c r="B32" s="2">
        <v>21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246"/>
      <c r="B33" s="3">
        <v>1135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3">
      <c r="A34" s="246" t="s">
        <v>20</v>
      </c>
      <c r="B34" s="2">
        <v>86</v>
      </c>
      <c r="C34" s="2">
        <v>4</v>
      </c>
      <c r="D34" s="2">
        <v>10</v>
      </c>
      <c r="E34" s="2">
        <v>1</v>
      </c>
      <c r="F34" s="2">
        <v>0</v>
      </c>
    </row>
    <row r="35" spans="1:6" x14ac:dyDescent="0.3">
      <c r="A35" s="246"/>
      <c r="B35" s="3">
        <v>4745</v>
      </c>
      <c r="C35" s="3">
        <v>215</v>
      </c>
      <c r="D35" s="3">
        <v>555</v>
      </c>
      <c r="E35" s="3">
        <v>60</v>
      </c>
      <c r="F35" s="3">
        <v>0</v>
      </c>
    </row>
    <row r="36" spans="1:6" x14ac:dyDescent="0.3">
      <c r="A36" s="246" t="s">
        <v>21</v>
      </c>
      <c r="B36" s="2">
        <v>18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246"/>
      <c r="B37" s="3">
        <v>1125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3">
      <c r="A38" s="246" t="s">
        <v>23</v>
      </c>
      <c r="B38" s="2">
        <v>375</v>
      </c>
      <c r="C38" s="2">
        <v>6</v>
      </c>
      <c r="D38" s="2">
        <v>8</v>
      </c>
      <c r="E38" s="2">
        <v>0</v>
      </c>
      <c r="F38" s="2">
        <v>0</v>
      </c>
    </row>
    <row r="39" spans="1:6" x14ac:dyDescent="0.3">
      <c r="A39" s="246"/>
      <c r="B39" s="3">
        <v>22525</v>
      </c>
      <c r="C39" s="3">
        <v>345</v>
      </c>
      <c r="D39" s="3">
        <v>465</v>
      </c>
      <c r="E39" s="3">
        <v>0</v>
      </c>
      <c r="F39" s="3">
        <v>0</v>
      </c>
    </row>
    <row r="40" spans="1:6" x14ac:dyDescent="0.3">
      <c r="A40" s="246" t="s">
        <v>24</v>
      </c>
      <c r="B40" s="2">
        <v>120</v>
      </c>
      <c r="C40" s="2">
        <v>6</v>
      </c>
      <c r="D40" s="2">
        <v>2</v>
      </c>
      <c r="E40" s="2">
        <v>0</v>
      </c>
      <c r="F40" s="2">
        <v>0</v>
      </c>
    </row>
    <row r="41" spans="1:6" x14ac:dyDescent="0.3">
      <c r="A41" s="246"/>
      <c r="B41" s="3">
        <v>10395</v>
      </c>
      <c r="C41" s="3">
        <v>390</v>
      </c>
      <c r="D41" s="3">
        <v>100</v>
      </c>
      <c r="E41" s="3">
        <v>0</v>
      </c>
      <c r="F41" s="3">
        <v>0</v>
      </c>
    </row>
    <row r="42" spans="1:6" x14ac:dyDescent="0.3">
      <c r="A42" s="246" t="s">
        <v>25</v>
      </c>
      <c r="B42" s="2">
        <v>8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246"/>
      <c r="B43" s="3">
        <v>515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3">
      <c r="A44" s="246" t="s">
        <v>26</v>
      </c>
      <c r="B44" s="2">
        <v>5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46"/>
      <c r="B45" s="3">
        <v>310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3">
      <c r="A46" s="246" t="s">
        <v>27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46"/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3">
      <c r="A48" s="246" t="s">
        <v>28</v>
      </c>
      <c r="B48" s="2">
        <v>47</v>
      </c>
      <c r="C48" s="2">
        <v>0</v>
      </c>
      <c r="D48" s="2">
        <v>2</v>
      </c>
      <c r="E48" s="2">
        <v>1</v>
      </c>
      <c r="F48" s="2">
        <v>0</v>
      </c>
    </row>
    <row r="49" spans="1:6" x14ac:dyDescent="0.3">
      <c r="A49" s="246"/>
      <c r="B49" s="3">
        <v>2745</v>
      </c>
      <c r="C49" s="3">
        <v>0</v>
      </c>
      <c r="D49" s="3">
        <v>100</v>
      </c>
      <c r="E49" s="3">
        <v>50</v>
      </c>
      <c r="F49" s="3">
        <v>0</v>
      </c>
    </row>
    <row r="50" spans="1:6" x14ac:dyDescent="0.3">
      <c r="A50" s="246" t="s">
        <v>29</v>
      </c>
      <c r="B50" s="2">
        <v>296</v>
      </c>
      <c r="C50" s="2">
        <v>18</v>
      </c>
      <c r="D50" s="2">
        <v>6</v>
      </c>
      <c r="E50" s="2">
        <v>0</v>
      </c>
      <c r="F50" s="2">
        <v>0</v>
      </c>
    </row>
    <row r="51" spans="1:6" x14ac:dyDescent="0.3">
      <c r="A51" s="246"/>
      <c r="B51" s="3">
        <v>18465</v>
      </c>
      <c r="C51" s="3">
        <v>1130</v>
      </c>
      <c r="D51" s="3">
        <v>355</v>
      </c>
      <c r="E51" s="3">
        <v>0</v>
      </c>
      <c r="F51" s="3">
        <v>0</v>
      </c>
    </row>
    <row r="52" spans="1:6" x14ac:dyDescent="0.3">
      <c r="A52" s="246" t="s">
        <v>30</v>
      </c>
      <c r="B52" s="2">
        <v>47</v>
      </c>
      <c r="C52" s="2">
        <v>1</v>
      </c>
      <c r="D52" s="2">
        <v>0</v>
      </c>
      <c r="E52" s="2">
        <v>0</v>
      </c>
      <c r="F52" s="2">
        <v>0</v>
      </c>
    </row>
    <row r="53" spans="1:6" x14ac:dyDescent="0.3">
      <c r="A53" s="246"/>
      <c r="B53" s="3">
        <v>2865</v>
      </c>
      <c r="C53" s="3">
        <v>60</v>
      </c>
      <c r="D53" s="3">
        <v>0</v>
      </c>
      <c r="E53" s="3">
        <v>0</v>
      </c>
      <c r="F53" s="3">
        <v>0</v>
      </c>
    </row>
    <row r="54" spans="1:6" x14ac:dyDescent="0.3">
      <c r="A54" s="246" t="s">
        <v>31</v>
      </c>
      <c r="B54" s="2">
        <v>901</v>
      </c>
      <c r="C54" s="2">
        <v>39</v>
      </c>
      <c r="D54" s="2">
        <v>17</v>
      </c>
      <c r="E54" s="2">
        <v>1</v>
      </c>
      <c r="F54" s="2">
        <v>2</v>
      </c>
    </row>
    <row r="55" spans="1:6" x14ac:dyDescent="0.3">
      <c r="A55" s="246"/>
      <c r="B55" s="3">
        <v>83115</v>
      </c>
      <c r="C55" s="3">
        <v>2170</v>
      </c>
      <c r="D55" s="3">
        <v>970</v>
      </c>
      <c r="E55" s="3">
        <v>50</v>
      </c>
      <c r="F55" s="3">
        <v>115</v>
      </c>
    </row>
    <row r="56" spans="1:6" x14ac:dyDescent="0.3">
      <c r="A56" s="246" t="s">
        <v>32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246"/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3">
      <c r="A58" s="7" t="s">
        <v>5</v>
      </c>
      <c r="B58" s="7" t="s">
        <v>33</v>
      </c>
      <c r="C58" s="7" t="s">
        <v>34</v>
      </c>
      <c r="D58" s="7" t="s">
        <v>35</v>
      </c>
      <c r="E58" s="7" t="s">
        <v>36</v>
      </c>
      <c r="F58" s="7" t="s">
        <v>37</v>
      </c>
    </row>
  </sheetData>
  <mergeCells count="28">
    <mergeCell ref="A26:A27"/>
    <mergeCell ref="A2:F2"/>
    <mergeCell ref="A4:A5"/>
    <mergeCell ref="A6:A7"/>
    <mergeCell ref="A8:A9"/>
    <mergeCell ref="A10:A11"/>
    <mergeCell ref="A12:A13"/>
    <mergeCell ref="A14:A15"/>
    <mergeCell ref="A18:A19"/>
    <mergeCell ref="A20:A21"/>
    <mergeCell ref="A22:A23"/>
    <mergeCell ref="A24:A25"/>
    <mergeCell ref="A52:A53"/>
    <mergeCell ref="A54:A55"/>
    <mergeCell ref="A56:A57"/>
    <mergeCell ref="A16:A17"/>
    <mergeCell ref="A40:A41"/>
    <mergeCell ref="A42:A43"/>
    <mergeCell ref="A44:A45"/>
    <mergeCell ref="A46:A47"/>
    <mergeCell ref="A48:A49"/>
    <mergeCell ref="A50:A51"/>
    <mergeCell ref="A28:A29"/>
    <mergeCell ref="A30:A31"/>
    <mergeCell ref="A32:A33"/>
    <mergeCell ref="A34:A35"/>
    <mergeCell ref="A36:A37"/>
    <mergeCell ref="A38:A3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797A-3BDA-4650-85BB-B1729C27CB17}">
  <sheetPr>
    <tabColor theme="3"/>
  </sheetPr>
  <dimension ref="A2:F58"/>
  <sheetViews>
    <sheetView workbookViewId="0">
      <selection activeCell="A4" sqref="A4:A57"/>
    </sheetView>
  </sheetViews>
  <sheetFormatPr defaultRowHeight="14.4" x14ac:dyDescent="0.3"/>
  <cols>
    <col min="1" max="1" width="3.6640625" style="5" bestFit="1" customWidth="1"/>
    <col min="2" max="2" width="12.6640625" style="1" bestFit="1" customWidth="1"/>
    <col min="3" max="3" width="11.6640625" style="1" bestFit="1" customWidth="1"/>
    <col min="4" max="4" width="11.109375" style="1" bestFit="1" customWidth="1"/>
    <col min="5" max="5" width="17.6640625" style="1" bestFit="1" customWidth="1"/>
    <col min="6" max="6" width="10.6640625" bestFit="1" customWidth="1"/>
  </cols>
  <sheetData>
    <row r="2" spans="1:6" x14ac:dyDescent="0.3">
      <c r="A2" s="247">
        <v>2015</v>
      </c>
      <c r="B2" s="247"/>
      <c r="C2" s="247"/>
      <c r="D2" s="247"/>
      <c r="E2" s="247"/>
      <c r="F2" s="247"/>
    </row>
    <row r="3" spans="1:6" x14ac:dyDescent="0.3">
      <c r="A3" s="7" t="s">
        <v>5</v>
      </c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</row>
    <row r="4" spans="1:6" x14ac:dyDescent="0.3">
      <c r="A4" s="246" t="s">
        <v>0</v>
      </c>
      <c r="B4" s="2">
        <v>2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46"/>
      <c r="B5" s="3">
        <v>150</v>
      </c>
      <c r="C5" s="3">
        <v>0</v>
      </c>
      <c r="D5" s="3">
        <v>0</v>
      </c>
      <c r="E5" s="3">
        <v>0</v>
      </c>
      <c r="F5" s="3">
        <v>0</v>
      </c>
    </row>
    <row r="6" spans="1:6" x14ac:dyDescent="0.3">
      <c r="A6" s="246" t="s">
        <v>4</v>
      </c>
      <c r="B6" s="2">
        <v>15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246"/>
      <c r="B7" s="3">
        <v>110</v>
      </c>
      <c r="C7" s="3">
        <v>0</v>
      </c>
      <c r="D7" s="3">
        <v>0</v>
      </c>
      <c r="E7" s="3">
        <v>0</v>
      </c>
      <c r="F7" s="3">
        <v>0</v>
      </c>
    </row>
    <row r="8" spans="1:6" x14ac:dyDescent="0.3">
      <c r="A8" s="246" t="s">
        <v>6</v>
      </c>
      <c r="B8" s="2">
        <v>92</v>
      </c>
      <c r="C8" s="2">
        <v>5</v>
      </c>
      <c r="D8" s="2">
        <v>0</v>
      </c>
      <c r="E8" s="2">
        <v>0</v>
      </c>
      <c r="F8" s="2">
        <v>0</v>
      </c>
    </row>
    <row r="9" spans="1:6" x14ac:dyDescent="0.3">
      <c r="A9" s="246"/>
      <c r="B9" s="3">
        <v>5990</v>
      </c>
      <c r="C9" s="3">
        <v>335</v>
      </c>
      <c r="D9" s="3">
        <v>0</v>
      </c>
      <c r="E9" s="3">
        <v>0</v>
      </c>
      <c r="F9" s="3">
        <v>0</v>
      </c>
    </row>
    <row r="10" spans="1:6" x14ac:dyDescent="0.3">
      <c r="A10" s="246" t="s">
        <v>7</v>
      </c>
      <c r="B10" s="2">
        <v>48</v>
      </c>
      <c r="C10" s="2">
        <v>3</v>
      </c>
      <c r="D10" s="2">
        <v>6</v>
      </c>
      <c r="E10" s="2">
        <v>0</v>
      </c>
      <c r="F10" s="2">
        <v>0</v>
      </c>
    </row>
    <row r="11" spans="1:6" x14ac:dyDescent="0.3">
      <c r="A11" s="246"/>
      <c r="B11" s="3">
        <v>3340</v>
      </c>
      <c r="C11" s="3">
        <v>220</v>
      </c>
      <c r="D11" s="3">
        <v>415</v>
      </c>
      <c r="E11" s="3">
        <v>0</v>
      </c>
      <c r="F11" s="3">
        <v>0</v>
      </c>
    </row>
    <row r="12" spans="1:6" x14ac:dyDescent="0.3">
      <c r="A12" s="246" t="s">
        <v>8</v>
      </c>
      <c r="B12" s="2">
        <v>45</v>
      </c>
      <c r="C12" s="2">
        <v>1</v>
      </c>
      <c r="D12" s="2">
        <v>0</v>
      </c>
      <c r="E12" s="2">
        <v>0</v>
      </c>
      <c r="F12" s="2">
        <v>0</v>
      </c>
    </row>
    <row r="13" spans="1:6" x14ac:dyDescent="0.3">
      <c r="A13" s="246"/>
      <c r="B13" s="3">
        <v>2565</v>
      </c>
      <c r="C13" s="3">
        <v>40</v>
      </c>
      <c r="D13" s="3">
        <v>0</v>
      </c>
      <c r="E13" s="3">
        <v>0</v>
      </c>
      <c r="F13" s="3">
        <v>0</v>
      </c>
    </row>
    <row r="14" spans="1:6" x14ac:dyDescent="0.3">
      <c r="A14" s="246" t="s">
        <v>9</v>
      </c>
      <c r="B14" s="2">
        <v>69</v>
      </c>
      <c r="C14" s="2">
        <v>1</v>
      </c>
      <c r="D14" s="2">
        <v>1</v>
      </c>
      <c r="E14" s="2">
        <v>0</v>
      </c>
      <c r="F14" s="2">
        <v>0</v>
      </c>
    </row>
    <row r="15" spans="1:6" x14ac:dyDescent="0.3">
      <c r="A15" s="246"/>
      <c r="B15" s="3">
        <v>4668.5</v>
      </c>
      <c r="C15" s="3">
        <v>75</v>
      </c>
      <c r="D15" s="3">
        <v>55</v>
      </c>
      <c r="E15" s="3">
        <v>0</v>
      </c>
      <c r="F15" s="3">
        <v>0</v>
      </c>
    </row>
    <row r="16" spans="1:6" x14ac:dyDescent="0.3">
      <c r="A16" s="246" t="s">
        <v>10</v>
      </c>
      <c r="B16" s="2">
        <v>80</v>
      </c>
      <c r="C16" s="2">
        <v>3</v>
      </c>
      <c r="D16" s="2">
        <v>0</v>
      </c>
      <c r="E16" s="2">
        <v>0</v>
      </c>
      <c r="F16" s="2">
        <v>2</v>
      </c>
    </row>
    <row r="17" spans="1:6" x14ac:dyDescent="0.3">
      <c r="A17" s="246"/>
      <c r="B17" s="3">
        <v>5321.5</v>
      </c>
      <c r="C17" s="3">
        <v>205</v>
      </c>
      <c r="D17" s="3">
        <v>0</v>
      </c>
      <c r="E17" s="3">
        <v>0</v>
      </c>
      <c r="F17" s="3">
        <v>150</v>
      </c>
    </row>
    <row r="18" spans="1:6" x14ac:dyDescent="0.3">
      <c r="A18" s="246" t="s">
        <v>11</v>
      </c>
      <c r="B18" s="2">
        <v>2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246"/>
      <c r="B19" s="3">
        <v>93.5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3">
      <c r="A20" s="246" t="s">
        <v>12</v>
      </c>
      <c r="B20" s="2">
        <v>31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246"/>
      <c r="B21" s="3">
        <v>1917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3">
      <c r="A22" s="246" t="s">
        <v>13</v>
      </c>
      <c r="B22" s="2">
        <v>15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246"/>
      <c r="B23" s="3">
        <v>950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3">
      <c r="A24" s="246" t="s">
        <v>14</v>
      </c>
      <c r="B24" s="2">
        <v>27</v>
      </c>
      <c r="C24" s="2">
        <v>1</v>
      </c>
      <c r="D24" s="2">
        <v>0</v>
      </c>
      <c r="E24" s="2">
        <v>0</v>
      </c>
      <c r="F24" s="2">
        <v>0</v>
      </c>
    </row>
    <row r="25" spans="1:6" x14ac:dyDescent="0.3">
      <c r="A25" s="246"/>
      <c r="B25" s="3">
        <v>1630.5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3">
      <c r="A26" s="246" t="s">
        <v>15</v>
      </c>
      <c r="B26" s="2">
        <v>89</v>
      </c>
      <c r="C26" s="2">
        <v>1</v>
      </c>
      <c r="D26" s="2">
        <v>2</v>
      </c>
      <c r="E26" s="2">
        <v>0</v>
      </c>
      <c r="F26" s="2">
        <v>1</v>
      </c>
    </row>
    <row r="27" spans="1:6" x14ac:dyDescent="0.3">
      <c r="A27" s="246"/>
      <c r="B27" s="3">
        <v>3667.5</v>
      </c>
      <c r="C27" s="3">
        <v>75</v>
      </c>
      <c r="D27" s="3">
        <v>110</v>
      </c>
      <c r="E27" s="3">
        <v>0</v>
      </c>
      <c r="F27" s="3">
        <v>75</v>
      </c>
    </row>
    <row r="28" spans="1:6" x14ac:dyDescent="0.3">
      <c r="A28" s="246" t="s">
        <v>16</v>
      </c>
      <c r="B28" s="2">
        <v>15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246"/>
      <c r="B29" s="3">
        <v>742.5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3">
      <c r="A30" s="246" t="s">
        <v>17</v>
      </c>
      <c r="B30" s="2">
        <v>58</v>
      </c>
      <c r="C30" s="2">
        <v>4</v>
      </c>
      <c r="D30" s="2">
        <v>6</v>
      </c>
      <c r="E30" s="2">
        <v>0</v>
      </c>
      <c r="F30" s="2">
        <v>0</v>
      </c>
    </row>
    <row r="31" spans="1:6" x14ac:dyDescent="0.3">
      <c r="A31" s="246"/>
      <c r="B31" s="3">
        <v>3915</v>
      </c>
      <c r="C31" s="3">
        <v>225</v>
      </c>
      <c r="D31" s="3">
        <v>410</v>
      </c>
      <c r="E31" s="3">
        <v>0</v>
      </c>
      <c r="F31" s="3">
        <v>0</v>
      </c>
    </row>
    <row r="32" spans="1:6" x14ac:dyDescent="0.3">
      <c r="A32" s="246" t="s">
        <v>19</v>
      </c>
      <c r="B32" s="2">
        <v>17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246"/>
      <c r="B33" s="3">
        <v>890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3">
      <c r="A34" s="246" t="s">
        <v>20</v>
      </c>
      <c r="B34" s="2">
        <v>112</v>
      </c>
      <c r="C34" s="2">
        <v>3</v>
      </c>
      <c r="D34" s="2">
        <v>9</v>
      </c>
      <c r="E34" s="2">
        <v>0</v>
      </c>
      <c r="F34" s="2">
        <v>1</v>
      </c>
    </row>
    <row r="35" spans="1:6" x14ac:dyDescent="0.3">
      <c r="A35" s="246"/>
      <c r="B35" s="3">
        <v>6645</v>
      </c>
      <c r="C35" s="3">
        <v>165</v>
      </c>
      <c r="D35" s="3">
        <v>570</v>
      </c>
      <c r="E35" s="3">
        <v>0</v>
      </c>
      <c r="F35" s="3">
        <v>55</v>
      </c>
    </row>
    <row r="36" spans="1:6" x14ac:dyDescent="0.3">
      <c r="A36" s="246" t="s">
        <v>21</v>
      </c>
      <c r="B36" s="2">
        <v>48</v>
      </c>
      <c r="C36" s="2">
        <v>0</v>
      </c>
      <c r="D36" s="2">
        <v>1</v>
      </c>
      <c r="E36" s="2">
        <v>0</v>
      </c>
      <c r="F36" s="2">
        <v>0</v>
      </c>
    </row>
    <row r="37" spans="1:6" x14ac:dyDescent="0.3">
      <c r="A37" s="246"/>
      <c r="B37" s="3">
        <v>2875</v>
      </c>
      <c r="C37" s="3">
        <v>0</v>
      </c>
      <c r="D37" s="3">
        <v>55</v>
      </c>
      <c r="E37" s="3">
        <v>0</v>
      </c>
      <c r="F37" s="3">
        <v>0</v>
      </c>
    </row>
    <row r="38" spans="1:6" x14ac:dyDescent="0.3">
      <c r="A38" s="246" t="s">
        <v>23</v>
      </c>
      <c r="B38" s="2">
        <v>364</v>
      </c>
      <c r="C38" s="2">
        <v>7</v>
      </c>
      <c r="D38" s="2">
        <v>7</v>
      </c>
      <c r="E38" s="2">
        <v>0</v>
      </c>
      <c r="F38" s="2">
        <v>0</v>
      </c>
    </row>
    <row r="39" spans="1:6" x14ac:dyDescent="0.3">
      <c r="A39" s="246"/>
      <c r="B39" s="3">
        <v>20126</v>
      </c>
      <c r="C39" s="3">
        <v>470</v>
      </c>
      <c r="D39" s="3">
        <v>440</v>
      </c>
      <c r="E39" s="3">
        <v>0</v>
      </c>
      <c r="F39" s="3">
        <v>0</v>
      </c>
    </row>
    <row r="40" spans="1:6" x14ac:dyDescent="0.3">
      <c r="A40" s="246" t="s">
        <v>24</v>
      </c>
      <c r="B40" s="2">
        <v>244</v>
      </c>
      <c r="C40" s="2">
        <v>11</v>
      </c>
      <c r="D40" s="2">
        <v>3</v>
      </c>
      <c r="E40" s="2">
        <v>0</v>
      </c>
      <c r="F40" s="2">
        <v>0</v>
      </c>
    </row>
    <row r="41" spans="1:6" x14ac:dyDescent="0.3">
      <c r="A41" s="246"/>
      <c r="B41" s="3">
        <v>12412.5</v>
      </c>
      <c r="C41" s="3">
        <v>720</v>
      </c>
      <c r="D41" s="3">
        <v>165</v>
      </c>
      <c r="E41" s="3">
        <v>0</v>
      </c>
      <c r="F41" s="3">
        <v>0</v>
      </c>
    </row>
    <row r="42" spans="1:6" x14ac:dyDescent="0.3">
      <c r="A42" s="246" t="s">
        <v>25</v>
      </c>
      <c r="B42" s="2">
        <v>4</v>
      </c>
      <c r="C42" s="2">
        <v>1</v>
      </c>
      <c r="D42" s="2">
        <v>0</v>
      </c>
      <c r="E42" s="2">
        <v>0</v>
      </c>
      <c r="F42" s="2">
        <v>0</v>
      </c>
    </row>
    <row r="43" spans="1:6" x14ac:dyDescent="0.3">
      <c r="A43" s="246"/>
      <c r="B43" s="3">
        <v>300</v>
      </c>
      <c r="C43" s="3">
        <v>75</v>
      </c>
      <c r="D43" s="3">
        <v>0</v>
      </c>
      <c r="E43" s="3">
        <v>0</v>
      </c>
      <c r="F43" s="3">
        <v>0</v>
      </c>
    </row>
    <row r="44" spans="1:6" x14ac:dyDescent="0.3">
      <c r="A44" s="246" t="s">
        <v>26</v>
      </c>
      <c r="B44" s="2">
        <v>8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46"/>
      <c r="B45" s="3">
        <v>510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3">
      <c r="A46" s="246" t="s">
        <v>27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46"/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3">
      <c r="A48" s="246" t="s">
        <v>28</v>
      </c>
      <c r="B48" s="2">
        <v>47</v>
      </c>
      <c r="C48" s="2">
        <v>1</v>
      </c>
      <c r="D48" s="2">
        <v>1</v>
      </c>
      <c r="E48" s="2">
        <v>1</v>
      </c>
      <c r="F48" s="2">
        <v>0</v>
      </c>
    </row>
    <row r="49" spans="1:6" x14ac:dyDescent="0.3">
      <c r="A49" s="246"/>
      <c r="B49" s="3">
        <v>2862</v>
      </c>
      <c r="C49" s="3">
        <v>70</v>
      </c>
      <c r="D49" s="3">
        <v>70</v>
      </c>
      <c r="E49" s="3">
        <v>55</v>
      </c>
      <c r="F49" s="3">
        <v>0</v>
      </c>
    </row>
    <row r="50" spans="1:6" x14ac:dyDescent="0.3">
      <c r="A50" s="246" t="s">
        <v>29</v>
      </c>
      <c r="B50" s="2">
        <v>326</v>
      </c>
      <c r="C50" s="2">
        <v>13</v>
      </c>
      <c r="D50" s="2">
        <v>6</v>
      </c>
      <c r="E50" s="2">
        <v>0</v>
      </c>
      <c r="F50" s="2">
        <v>0</v>
      </c>
    </row>
    <row r="51" spans="1:6" x14ac:dyDescent="0.3">
      <c r="A51" s="246"/>
      <c r="B51" s="3">
        <v>22486</v>
      </c>
      <c r="C51" s="3">
        <v>930</v>
      </c>
      <c r="D51" s="3">
        <v>365</v>
      </c>
      <c r="E51" s="3">
        <v>0</v>
      </c>
      <c r="F51" s="3">
        <v>0</v>
      </c>
    </row>
    <row r="52" spans="1:6" x14ac:dyDescent="0.3">
      <c r="A52" s="246" t="s">
        <v>30</v>
      </c>
      <c r="B52" s="2">
        <v>85</v>
      </c>
      <c r="C52" s="2">
        <v>2</v>
      </c>
      <c r="D52" s="2">
        <v>0</v>
      </c>
      <c r="E52" s="2">
        <v>0</v>
      </c>
      <c r="F52" s="2">
        <v>0</v>
      </c>
    </row>
    <row r="53" spans="1:6" x14ac:dyDescent="0.3">
      <c r="A53" s="246"/>
      <c r="B53" s="3">
        <v>3405</v>
      </c>
      <c r="C53" s="3">
        <v>110</v>
      </c>
      <c r="D53" s="3">
        <v>0</v>
      </c>
      <c r="E53" s="3">
        <v>0</v>
      </c>
      <c r="F53" s="3">
        <v>0</v>
      </c>
    </row>
    <row r="54" spans="1:6" x14ac:dyDescent="0.3">
      <c r="A54" s="246" t="s">
        <v>31</v>
      </c>
      <c r="B54" s="2">
        <v>859</v>
      </c>
      <c r="C54" s="2">
        <v>47</v>
      </c>
      <c r="D54" s="2">
        <v>15</v>
      </c>
      <c r="E54" s="2">
        <v>1</v>
      </c>
      <c r="F54" s="2">
        <v>2</v>
      </c>
    </row>
    <row r="55" spans="1:6" x14ac:dyDescent="0.3">
      <c r="A55" s="246"/>
      <c r="B55" s="3">
        <v>68496.05</v>
      </c>
      <c r="C55" s="3">
        <v>2950</v>
      </c>
      <c r="D55" s="3">
        <v>865</v>
      </c>
      <c r="E55" s="3">
        <v>55</v>
      </c>
      <c r="F55" s="3">
        <v>110</v>
      </c>
    </row>
    <row r="56" spans="1:6" x14ac:dyDescent="0.3">
      <c r="A56" s="246" t="s">
        <v>32</v>
      </c>
      <c r="B56" s="2">
        <v>1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246"/>
      <c r="B57" s="3">
        <v>75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3">
      <c r="A58" s="7" t="s">
        <v>5</v>
      </c>
      <c r="B58" s="7" t="s">
        <v>33</v>
      </c>
      <c r="C58" s="7" t="s">
        <v>34</v>
      </c>
      <c r="D58" s="7" t="s">
        <v>35</v>
      </c>
      <c r="E58" s="7" t="s">
        <v>36</v>
      </c>
      <c r="F58" s="7" t="s">
        <v>37</v>
      </c>
    </row>
  </sheetData>
  <mergeCells count="28">
    <mergeCell ref="A12:A13"/>
    <mergeCell ref="A2:F2"/>
    <mergeCell ref="A4:A5"/>
    <mergeCell ref="A6:A7"/>
    <mergeCell ref="A8:A9"/>
    <mergeCell ref="A10:A11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17AFC-D0FD-40E6-A9C7-47A2A3C32489}">
  <sheetPr>
    <tabColor theme="3"/>
  </sheetPr>
  <dimension ref="A2:F58"/>
  <sheetViews>
    <sheetView workbookViewId="0">
      <selection activeCell="A4" sqref="A4:A57"/>
    </sheetView>
  </sheetViews>
  <sheetFormatPr defaultRowHeight="14.4" x14ac:dyDescent="0.3"/>
  <cols>
    <col min="1" max="1" width="3.6640625" style="5" bestFit="1" customWidth="1"/>
    <col min="2" max="2" width="12.6640625" style="1" bestFit="1" customWidth="1"/>
    <col min="3" max="4" width="11.6640625" style="1" bestFit="1" customWidth="1"/>
    <col min="5" max="5" width="17.6640625" style="1" bestFit="1" customWidth="1"/>
    <col min="6" max="6" width="10.6640625" bestFit="1" customWidth="1"/>
  </cols>
  <sheetData>
    <row r="2" spans="1:6" x14ac:dyDescent="0.3">
      <c r="A2" s="247">
        <v>2016</v>
      </c>
      <c r="B2" s="247"/>
      <c r="C2" s="247"/>
      <c r="D2" s="247"/>
      <c r="E2" s="247"/>
      <c r="F2" s="247"/>
    </row>
    <row r="3" spans="1:6" x14ac:dyDescent="0.3">
      <c r="A3" s="7" t="s">
        <v>5</v>
      </c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</row>
    <row r="4" spans="1:6" x14ac:dyDescent="0.3">
      <c r="A4" s="246" t="s">
        <v>0</v>
      </c>
      <c r="B4" s="2">
        <v>1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46"/>
      <c r="B5" s="3">
        <v>75</v>
      </c>
      <c r="C5" s="3">
        <v>0</v>
      </c>
      <c r="D5" s="3">
        <v>0</v>
      </c>
      <c r="E5" s="3">
        <v>0</v>
      </c>
      <c r="F5" s="3">
        <v>0</v>
      </c>
    </row>
    <row r="6" spans="1:6" x14ac:dyDescent="0.3">
      <c r="A6" s="246" t="s">
        <v>4</v>
      </c>
      <c r="B6" s="2">
        <v>17</v>
      </c>
      <c r="C6" s="2">
        <v>1</v>
      </c>
      <c r="D6" s="2">
        <v>1</v>
      </c>
      <c r="E6" s="2">
        <v>0</v>
      </c>
      <c r="F6" s="2">
        <v>0</v>
      </c>
    </row>
    <row r="7" spans="1:6" x14ac:dyDescent="0.3">
      <c r="A7" s="246"/>
      <c r="B7" s="3">
        <v>1150</v>
      </c>
      <c r="C7" s="3">
        <v>75</v>
      </c>
      <c r="D7" s="3">
        <v>75</v>
      </c>
      <c r="E7" s="3">
        <v>0</v>
      </c>
      <c r="F7" s="3">
        <v>0</v>
      </c>
    </row>
    <row r="8" spans="1:6" x14ac:dyDescent="0.3">
      <c r="A8" s="246" t="s">
        <v>6</v>
      </c>
      <c r="B8" s="2">
        <v>62</v>
      </c>
      <c r="C8" s="2">
        <v>5</v>
      </c>
      <c r="D8" s="2">
        <v>0</v>
      </c>
      <c r="E8" s="2">
        <v>0</v>
      </c>
      <c r="F8" s="2">
        <v>0</v>
      </c>
    </row>
    <row r="9" spans="1:6" x14ac:dyDescent="0.3">
      <c r="A9" s="246"/>
      <c r="B9" s="3">
        <v>4440</v>
      </c>
      <c r="C9" s="3">
        <v>365</v>
      </c>
      <c r="D9" s="3">
        <v>0</v>
      </c>
      <c r="E9" s="3">
        <v>0</v>
      </c>
      <c r="F9" s="3">
        <v>0</v>
      </c>
    </row>
    <row r="10" spans="1:6" x14ac:dyDescent="0.3">
      <c r="A10" s="246" t="s">
        <v>7</v>
      </c>
      <c r="B10" s="2">
        <v>36</v>
      </c>
      <c r="C10" s="2">
        <v>2</v>
      </c>
      <c r="D10" s="2">
        <v>0</v>
      </c>
      <c r="E10" s="2">
        <v>0</v>
      </c>
      <c r="F10" s="2">
        <v>0</v>
      </c>
    </row>
    <row r="11" spans="1:6" x14ac:dyDescent="0.3">
      <c r="A11" s="246"/>
      <c r="B11" s="3">
        <v>2990</v>
      </c>
      <c r="C11" s="3">
        <v>150</v>
      </c>
      <c r="D11" s="3">
        <v>0</v>
      </c>
      <c r="E11" s="3">
        <v>0</v>
      </c>
      <c r="F11" s="3">
        <v>0</v>
      </c>
    </row>
    <row r="12" spans="1:6" x14ac:dyDescent="0.3">
      <c r="A12" s="246" t="s">
        <v>8</v>
      </c>
      <c r="B12" s="2">
        <v>22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246"/>
      <c r="B13" s="3">
        <v>1650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3">
      <c r="A14" s="246" t="s">
        <v>9</v>
      </c>
      <c r="B14" s="2">
        <v>70</v>
      </c>
      <c r="C14" s="2">
        <v>1</v>
      </c>
      <c r="D14" s="2">
        <v>2</v>
      </c>
      <c r="E14" s="2">
        <v>0</v>
      </c>
      <c r="F14" s="2">
        <v>1</v>
      </c>
    </row>
    <row r="15" spans="1:6" x14ac:dyDescent="0.3">
      <c r="A15" s="246"/>
      <c r="B15" s="3">
        <v>5015</v>
      </c>
      <c r="C15" s="3">
        <v>75</v>
      </c>
      <c r="D15" s="3">
        <v>150</v>
      </c>
      <c r="E15" s="3">
        <v>0</v>
      </c>
      <c r="F15" s="3">
        <v>65</v>
      </c>
    </row>
    <row r="16" spans="1:6" x14ac:dyDescent="0.3">
      <c r="A16" s="246" t="s">
        <v>10</v>
      </c>
      <c r="B16" s="2">
        <v>81</v>
      </c>
      <c r="C16" s="2">
        <v>5</v>
      </c>
      <c r="D16" s="2">
        <v>1</v>
      </c>
      <c r="E16" s="2">
        <v>0</v>
      </c>
      <c r="F16" s="2">
        <v>2</v>
      </c>
    </row>
    <row r="17" spans="1:6" x14ac:dyDescent="0.3">
      <c r="A17" s="246"/>
      <c r="B17" s="3">
        <v>5825</v>
      </c>
      <c r="C17" s="3">
        <v>355</v>
      </c>
      <c r="D17" s="3">
        <v>75</v>
      </c>
      <c r="E17" s="3">
        <v>0</v>
      </c>
      <c r="F17" s="3">
        <v>150</v>
      </c>
    </row>
    <row r="18" spans="1:6" x14ac:dyDescent="0.3">
      <c r="A18" s="246" t="s">
        <v>11</v>
      </c>
      <c r="B18" s="2">
        <v>2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246"/>
      <c r="B19" s="3">
        <v>150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3">
      <c r="A20" s="246" t="s">
        <v>12</v>
      </c>
      <c r="B20" s="2">
        <v>29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246"/>
      <c r="B21" s="3">
        <v>2115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3">
      <c r="A22" s="246" t="s">
        <v>13</v>
      </c>
      <c r="B22" s="2">
        <v>19</v>
      </c>
      <c r="C22" s="2">
        <v>1</v>
      </c>
      <c r="D22" s="2">
        <v>0</v>
      </c>
      <c r="E22" s="2">
        <v>0</v>
      </c>
      <c r="F22" s="2">
        <v>0</v>
      </c>
    </row>
    <row r="23" spans="1:6" x14ac:dyDescent="0.3">
      <c r="A23" s="246"/>
      <c r="B23" s="3">
        <v>1425</v>
      </c>
      <c r="C23" s="3">
        <v>75</v>
      </c>
      <c r="D23" s="3">
        <v>0</v>
      </c>
      <c r="E23" s="3">
        <v>0</v>
      </c>
      <c r="F23" s="3">
        <v>0</v>
      </c>
    </row>
    <row r="24" spans="1:6" x14ac:dyDescent="0.3">
      <c r="A24" s="246" t="s">
        <v>14</v>
      </c>
      <c r="B24" s="2">
        <v>38</v>
      </c>
      <c r="C24" s="2">
        <v>2</v>
      </c>
      <c r="D24" s="2">
        <v>0</v>
      </c>
      <c r="E24" s="2">
        <v>0</v>
      </c>
      <c r="F24" s="2">
        <v>0</v>
      </c>
    </row>
    <row r="25" spans="1:6" x14ac:dyDescent="0.3">
      <c r="A25" s="246"/>
      <c r="B25" s="3">
        <v>2700</v>
      </c>
      <c r="C25" s="3">
        <v>330</v>
      </c>
      <c r="D25" s="3">
        <v>0</v>
      </c>
      <c r="E25" s="3">
        <v>0</v>
      </c>
      <c r="F25" s="3">
        <v>0</v>
      </c>
    </row>
    <row r="26" spans="1:6" x14ac:dyDescent="0.3">
      <c r="A26" s="246" t="s">
        <v>15</v>
      </c>
      <c r="B26" s="2">
        <v>30</v>
      </c>
      <c r="C26" s="2">
        <v>5</v>
      </c>
      <c r="D26" s="2">
        <v>1</v>
      </c>
      <c r="E26" s="2">
        <v>0</v>
      </c>
      <c r="F26" s="2">
        <v>0</v>
      </c>
    </row>
    <row r="27" spans="1:6" x14ac:dyDescent="0.3">
      <c r="A27" s="246"/>
      <c r="B27" s="3">
        <v>2550</v>
      </c>
      <c r="C27" s="3">
        <v>365</v>
      </c>
      <c r="D27" s="3">
        <v>75</v>
      </c>
      <c r="E27" s="3">
        <v>0</v>
      </c>
      <c r="F27" s="3">
        <v>0</v>
      </c>
    </row>
    <row r="28" spans="1:6" x14ac:dyDescent="0.3">
      <c r="A28" s="246" t="s">
        <v>16</v>
      </c>
      <c r="B28" s="2">
        <v>15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246"/>
      <c r="B29" s="3">
        <v>1125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3">
      <c r="A30" s="246" t="s">
        <v>17</v>
      </c>
      <c r="B30" s="2">
        <v>49</v>
      </c>
      <c r="C30" s="2">
        <v>3</v>
      </c>
      <c r="D30" s="2">
        <v>9</v>
      </c>
      <c r="E30" s="2">
        <v>0</v>
      </c>
      <c r="F30" s="2">
        <v>0</v>
      </c>
    </row>
    <row r="31" spans="1:6" x14ac:dyDescent="0.3">
      <c r="A31" s="246"/>
      <c r="B31" s="3">
        <v>3650</v>
      </c>
      <c r="C31" s="3">
        <v>225</v>
      </c>
      <c r="D31" s="3">
        <v>665</v>
      </c>
      <c r="E31" s="3">
        <v>0</v>
      </c>
      <c r="F31" s="3">
        <v>0</v>
      </c>
    </row>
    <row r="32" spans="1:6" x14ac:dyDescent="0.3">
      <c r="A32" s="246" t="s">
        <v>19</v>
      </c>
      <c r="B32" s="2">
        <v>3</v>
      </c>
      <c r="C32" s="2">
        <v>1</v>
      </c>
      <c r="D32" s="2">
        <v>0</v>
      </c>
      <c r="E32" s="2">
        <v>0</v>
      </c>
      <c r="F32" s="2">
        <v>0</v>
      </c>
    </row>
    <row r="33" spans="1:6" x14ac:dyDescent="0.3">
      <c r="A33" s="246"/>
      <c r="B33" s="3">
        <v>225</v>
      </c>
      <c r="C33" s="3">
        <v>75</v>
      </c>
      <c r="D33" s="3">
        <v>0</v>
      </c>
      <c r="E33" s="3">
        <v>0</v>
      </c>
      <c r="F33" s="3">
        <v>0</v>
      </c>
    </row>
    <row r="34" spans="1:6" x14ac:dyDescent="0.3">
      <c r="A34" s="246" t="s">
        <v>20</v>
      </c>
      <c r="B34" s="2">
        <v>118</v>
      </c>
      <c r="C34" s="2">
        <v>3</v>
      </c>
      <c r="D34" s="2">
        <v>17</v>
      </c>
      <c r="E34" s="2">
        <v>1</v>
      </c>
      <c r="F34" s="2">
        <v>0</v>
      </c>
    </row>
    <row r="35" spans="1:6" x14ac:dyDescent="0.3">
      <c r="A35" s="246"/>
      <c r="B35" s="3">
        <v>8220</v>
      </c>
      <c r="C35" s="3">
        <v>205</v>
      </c>
      <c r="D35" s="3">
        <v>1235</v>
      </c>
      <c r="E35" s="3">
        <v>65</v>
      </c>
      <c r="F35" s="3">
        <v>0</v>
      </c>
    </row>
    <row r="36" spans="1:6" x14ac:dyDescent="0.3">
      <c r="A36" s="246" t="s">
        <v>21</v>
      </c>
      <c r="B36" s="2">
        <v>46</v>
      </c>
      <c r="C36" s="2">
        <v>3</v>
      </c>
      <c r="D36" s="2">
        <v>2</v>
      </c>
      <c r="E36" s="2">
        <v>0</v>
      </c>
      <c r="F36" s="2">
        <v>0</v>
      </c>
    </row>
    <row r="37" spans="1:6" x14ac:dyDescent="0.3">
      <c r="A37" s="246"/>
      <c r="B37" s="3">
        <v>3255</v>
      </c>
      <c r="C37" s="3">
        <v>270</v>
      </c>
      <c r="D37" s="3">
        <v>150</v>
      </c>
      <c r="E37" s="3">
        <v>0</v>
      </c>
      <c r="F37" s="3">
        <v>0</v>
      </c>
    </row>
    <row r="38" spans="1:6" x14ac:dyDescent="0.3">
      <c r="A38" s="246" t="s">
        <v>23</v>
      </c>
      <c r="B38" s="2">
        <v>233</v>
      </c>
      <c r="C38" s="2">
        <v>9</v>
      </c>
      <c r="D38" s="2">
        <v>4</v>
      </c>
      <c r="E38" s="2">
        <v>1</v>
      </c>
      <c r="F38" s="2">
        <v>0</v>
      </c>
    </row>
    <row r="39" spans="1:6" x14ac:dyDescent="0.3">
      <c r="A39" s="246"/>
      <c r="B39" s="3">
        <v>15700</v>
      </c>
      <c r="C39" s="3">
        <v>690</v>
      </c>
      <c r="D39" s="3">
        <v>280</v>
      </c>
      <c r="E39" s="3">
        <v>75</v>
      </c>
      <c r="F39" s="3">
        <v>0</v>
      </c>
    </row>
    <row r="40" spans="1:6" x14ac:dyDescent="0.3">
      <c r="A40" s="246" t="s">
        <v>24</v>
      </c>
      <c r="B40" s="2">
        <v>384</v>
      </c>
      <c r="C40" s="2">
        <v>12</v>
      </c>
      <c r="D40" s="2">
        <v>3</v>
      </c>
      <c r="E40" s="2">
        <v>0</v>
      </c>
      <c r="F40" s="2">
        <v>0</v>
      </c>
    </row>
    <row r="41" spans="1:6" x14ac:dyDescent="0.3">
      <c r="A41" s="246"/>
      <c r="B41" s="3">
        <v>8445</v>
      </c>
      <c r="C41" s="3">
        <v>860</v>
      </c>
      <c r="D41" s="3">
        <v>215</v>
      </c>
      <c r="E41" s="3">
        <v>0</v>
      </c>
      <c r="F41" s="3">
        <v>0</v>
      </c>
    </row>
    <row r="42" spans="1:6" x14ac:dyDescent="0.3">
      <c r="A42" s="246" t="s">
        <v>25</v>
      </c>
      <c r="B42" s="2">
        <v>3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246"/>
      <c r="B43" s="3">
        <v>225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3">
      <c r="A44" s="246" t="s">
        <v>26</v>
      </c>
      <c r="B44" s="2">
        <v>1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46"/>
      <c r="B45" s="3">
        <v>75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3">
      <c r="A46" s="246" t="s">
        <v>27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46"/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3">
      <c r="A48" s="246" t="s">
        <v>28</v>
      </c>
      <c r="B48" s="2">
        <v>64</v>
      </c>
      <c r="C48" s="2">
        <v>2</v>
      </c>
      <c r="D48" s="2">
        <v>1</v>
      </c>
      <c r="E48" s="2">
        <v>1</v>
      </c>
      <c r="F48" s="2">
        <v>0</v>
      </c>
    </row>
    <row r="49" spans="1:6" x14ac:dyDescent="0.3">
      <c r="A49" s="246"/>
      <c r="B49" s="3">
        <v>4400</v>
      </c>
      <c r="C49" s="3">
        <v>130</v>
      </c>
      <c r="D49" s="3">
        <v>65</v>
      </c>
      <c r="E49" s="3">
        <v>65</v>
      </c>
      <c r="F49" s="3">
        <v>0</v>
      </c>
    </row>
    <row r="50" spans="1:6" x14ac:dyDescent="0.3">
      <c r="A50" s="246" t="s">
        <v>29</v>
      </c>
      <c r="B50" s="2">
        <v>329</v>
      </c>
      <c r="C50" s="2">
        <v>16</v>
      </c>
      <c r="D50" s="2">
        <v>7</v>
      </c>
      <c r="E50" s="2">
        <v>0</v>
      </c>
      <c r="F50" s="2">
        <v>0</v>
      </c>
    </row>
    <row r="51" spans="1:6" x14ac:dyDescent="0.3">
      <c r="A51" s="246"/>
      <c r="B51" s="3">
        <v>23475</v>
      </c>
      <c r="C51" s="3">
        <v>1215</v>
      </c>
      <c r="D51" s="3">
        <v>505</v>
      </c>
      <c r="E51" s="3">
        <v>0</v>
      </c>
      <c r="F51" s="3">
        <v>0</v>
      </c>
    </row>
    <row r="52" spans="1:6" x14ac:dyDescent="0.3">
      <c r="A52" s="246" t="s">
        <v>30</v>
      </c>
      <c r="B52" s="2">
        <v>68</v>
      </c>
      <c r="C52" s="2">
        <v>1</v>
      </c>
      <c r="D52" s="2">
        <v>0</v>
      </c>
      <c r="E52" s="2">
        <v>0</v>
      </c>
      <c r="F52" s="2">
        <v>0</v>
      </c>
    </row>
    <row r="53" spans="1:6" x14ac:dyDescent="0.3">
      <c r="A53" s="246"/>
      <c r="B53" s="3">
        <v>2370</v>
      </c>
      <c r="C53" s="3">
        <v>65</v>
      </c>
      <c r="D53" s="3">
        <v>0</v>
      </c>
      <c r="E53" s="3">
        <v>0</v>
      </c>
      <c r="F53" s="3">
        <v>0</v>
      </c>
    </row>
    <row r="54" spans="1:6" x14ac:dyDescent="0.3">
      <c r="A54" s="246" t="s">
        <v>31</v>
      </c>
      <c r="B54" s="2">
        <v>702</v>
      </c>
      <c r="C54" s="2">
        <v>48</v>
      </c>
      <c r="D54" s="2">
        <v>16</v>
      </c>
      <c r="E54" s="2">
        <v>1</v>
      </c>
      <c r="F54" s="2">
        <v>1</v>
      </c>
    </row>
    <row r="55" spans="1:6" x14ac:dyDescent="0.3">
      <c r="A55" s="246"/>
      <c r="B55" s="3">
        <v>54440</v>
      </c>
      <c r="C55" s="3">
        <v>3525</v>
      </c>
      <c r="D55" s="3">
        <v>1110</v>
      </c>
      <c r="E55" s="3">
        <v>65</v>
      </c>
      <c r="F55" s="3">
        <v>75</v>
      </c>
    </row>
    <row r="56" spans="1:6" x14ac:dyDescent="0.3">
      <c r="A56" s="246" t="s">
        <v>32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246"/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3">
      <c r="A58" s="7" t="s">
        <v>5</v>
      </c>
      <c r="B58" s="7" t="s">
        <v>33</v>
      </c>
      <c r="C58" s="7" t="s">
        <v>34</v>
      </c>
      <c r="D58" s="7" t="s">
        <v>35</v>
      </c>
      <c r="E58" s="7" t="s">
        <v>36</v>
      </c>
      <c r="F58" s="7" t="s">
        <v>37</v>
      </c>
    </row>
  </sheetData>
  <mergeCells count="28">
    <mergeCell ref="A12:A13"/>
    <mergeCell ref="A2:F2"/>
    <mergeCell ref="A4:A5"/>
    <mergeCell ref="A6:A7"/>
    <mergeCell ref="A8:A9"/>
    <mergeCell ref="A10:A11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Leia-me</vt:lpstr>
      <vt:lpstr>SOMATÓRIO</vt:lpstr>
      <vt:lpstr>CONSOLIDADO</vt:lpstr>
      <vt:lpstr>Valor-TRA</vt:lpstr>
      <vt:lpstr>TRA-Consolidado</vt:lpstr>
      <vt:lpstr>TRA.13</vt:lpstr>
      <vt:lpstr>TRA.14</vt:lpstr>
      <vt:lpstr>TRA.15</vt:lpstr>
      <vt:lpstr>TRA.16</vt:lpstr>
      <vt:lpstr>TRA.17</vt:lpstr>
      <vt:lpstr>TRA.18</vt:lpstr>
      <vt:lpstr>TRA.19</vt:lpstr>
      <vt:lpstr>PAF-Consolidado</vt:lpstr>
      <vt:lpstr>PAF.14</vt:lpstr>
      <vt:lpstr>PAF.15</vt:lpstr>
      <vt:lpstr>PAF.16</vt:lpstr>
      <vt:lpstr>PAF.17</vt:lpstr>
      <vt:lpstr>PAF.18</vt:lpstr>
      <vt:lpstr>CTs-Consolidado</vt:lpstr>
      <vt:lpstr>CTs-A Descontar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Geraldo Campestrini</cp:lastModifiedBy>
  <dcterms:created xsi:type="dcterms:W3CDTF">2019-07-10T00:55:57Z</dcterms:created>
  <dcterms:modified xsi:type="dcterms:W3CDTF">2019-07-17T22:59:13Z</dcterms:modified>
</cp:coreProperties>
</file>